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f13c6ea4042b664/Desktop/"/>
    </mc:Choice>
  </mc:AlternateContent>
  <xr:revisionPtr revIDLastSave="0" documentId="8_{3092E600-9F53-4B26-84F7-3DC93E339B2F}" xr6:coauthVersionLast="47" xr6:coauthVersionMax="47" xr10:uidLastSave="{00000000-0000-0000-0000-000000000000}"/>
  <bookViews>
    <workbookView xWindow="-108" yWindow="-108" windowWidth="23256" windowHeight="12456" xr2:uid="{61B94115-9D0E-4CCA-B964-7848ADA1F2EB}"/>
  </bookViews>
  <sheets>
    <sheet name="Dashboard" sheetId="2" r:id="rId1"/>
    <sheet name="Transactions" sheetId="3" r:id="rId2"/>
    <sheet name="Monthly Summary" sheetId="4" r:id="rId3"/>
    <sheet name="Cash Flow" sheetId="5" r:id="rId4"/>
    <sheet name="Budget vs Actual" sheetId="6" r:id="rId5"/>
    <sheet name="Settings" sheetId="7" r:id="rId6"/>
    <sheet name="Read Me" sheetId="8" r:id="rId7"/>
  </sheets>
  <definedNames>
    <definedName name="LowCashThreshold">Settings!$B$12</definedName>
    <definedName name="OpeningCashBalance">Settings!$B$9</definedName>
    <definedName name="ReportingYear">Settings!$B$5</definedName>
    <definedName name="TargetProfitMargin">Settings!$B$11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4" i="6" l="1"/>
  <c r="E14" i="6"/>
  <c r="J14" i="6"/>
  <c r="H14" i="6"/>
  <c r="G14" i="6"/>
  <c r="F14" i="6"/>
  <c r="D14" i="6"/>
  <c r="C14" i="6"/>
  <c r="B14" i="6"/>
  <c r="K13" i="6"/>
  <c r="K12" i="6"/>
  <c r="K11" i="6"/>
  <c r="K10" i="6"/>
  <c r="K9" i="6"/>
  <c r="K8" i="6"/>
  <c r="K7" i="6"/>
  <c r="K6" i="6"/>
  <c r="K5" i="6"/>
  <c r="K4" i="6"/>
  <c r="K3" i="6"/>
  <c r="K2" i="6"/>
  <c r="J13" i="6"/>
  <c r="J12" i="6"/>
  <c r="J11" i="6"/>
  <c r="J10" i="6"/>
  <c r="J9" i="6"/>
  <c r="J8" i="6"/>
  <c r="J7" i="6"/>
  <c r="J6" i="6"/>
  <c r="J5" i="6"/>
  <c r="J4" i="6"/>
  <c r="J3" i="6"/>
  <c r="J2" i="6"/>
  <c r="I13" i="6"/>
  <c r="I12" i="6"/>
  <c r="I11" i="6"/>
  <c r="I10" i="6"/>
  <c r="I9" i="6"/>
  <c r="I8" i="6"/>
  <c r="I7" i="6"/>
  <c r="I6" i="6"/>
  <c r="I5" i="6"/>
  <c r="I4" i="6"/>
  <c r="I3" i="6"/>
  <c r="I2" i="6"/>
  <c r="H13" i="6"/>
  <c r="H12" i="6"/>
  <c r="H11" i="6"/>
  <c r="H10" i="6"/>
  <c r="H9" i="6"/>
  <c r="H8" i="6"/>
  <c r="H7" i="6"/>
  <c r="H6" i="6"/>
  <c r="H5" i="6"/>
  <c r="H4" i="6"/>
  <c r="H3" i="6"/>
  <c r="H2" i="6"/>
  <c r="G13" i="6"/>
  <c r="G12" i="6"/>
  <c r="G11" i="6"/>
  <c r="G10" i="6"/>
  <c r="G9" i="6"/>
  <c r="G8" i="6"/>
  <c r="G7" i="6"/>
  <c r="G6" i="6"/>
  <c r="G5" i="6"/>
  <c r="G4" i="6"/>
  <c r="G3" i="6"/>
  <c r="G2" i="6"/>
  <c r="F13" i="6"/>
  <c r="F12" i="6"/>
  <c r="F11" i="6"/>
  <c r="F10" i="6"/>
  <c r="F9" i="6"/>
  <c r="F8" i="6"/>
  <c r="F7" i="6"/>
  <c r="F6" i="6"/>
  <c r="F5" i="6"/>
  <c r="F4" i="6"/>
  <c r="F3" i="6"/>
  <c r="F2" i="6"/>
  <c r="E13" i="6"/>
  <c r="E12" i="6"/>
  <c r="E11" i="6"/>
  <c r="E10" i="6"/>
  <c r="E9" i="6"/>
  <c r="E8" i="6"/>
  <c r="E7" i="6"/>
  <c r="E6" i="6"/>
  <c r="E5" i="6"/>
  <c r="E4" i="6"/>
  <c r="E3" i="6"/>
  <c r="E2" i="6"/>
  <c r="D13" i="6"/>
  <c r="D12" i="6"/>
  <c r="D11" i="6"/>
  <c r="D10" i="6"/>
  <c r="D9" i="6"/>
  <c r="D8" i="6"/>
  <c r="D7" i="6"/>
  <c r="D6" i="6"/>
  <c r="D5" i="6"/>
  <c r="D4" i="6"/>
  <c r="D3" i="6"/>
  <c r="D2" i="6"/>
  <c r="C13" i="6"/>
  <c r="C12" i="6"/>
  <c r="C11" i="6"/>
  <c r="C10" i="6"/>
  <c r="C9" i="6"/>
  <c r="C8" i="6"/>
  <c r="C7" i="6"/>
  <c r="C6" i="6"/>
  <c r="C5" i="6"/>
  <c r="C4" i="6"/>
  <c r="C3" i="6"/>
  <c r="C2" i="6"/>
  <c r="B13" i="6"/>
  <c r="B12" i="6"/>
  <c r="B11" i="6"/>
  <c r="B10" i="6"/>
  <c r="B9" i="6"/>
  <c r="B8" i="6"/>
  <c r="B7" i="6"/>
  <c r="B6" i="6"/>
  <c r="B5" i="6"/>
  <c r="B4" i="6"/>
  <c r="B3" i="6"/>
  <c r="B2" i="6"/>
  <c r="A13" i="6"/>
  <c r="A12" i="6"/>
  <c r="A11" i="6"/>
  <c r="A10" i="6"/>
  <c r="A9" i="6"/>
  <c r="A8" i="6"/>
  <c r="A7" i="6"/>
  <c r="A6" i="6"/>
  <c r="A5" i="6"/>
  <c r="A4" i="6"/>
  <c r="A3" i="6"/>
  <c r="A2" i="6"/>
  <c r="K13" i="5"/>
  <c r="K12" i="5"/>
  <c r="K11" i="5"/>
  <c r="K10" i="5"/>
  <c r="K9" i="5"/>
  <c r="K8" i="5"/>
  <c r="K7" i="5"/>
  <c r="K6" i="5"/>
  <c r="K5" i="5"/>
  <c r="K4" i="5"/>
  <c r="K3" i="5"/>
  <c r="K2" i="5"/>
  <c r="J2" i="5"/>
  <c r="I13" i="5"/>
  <c r="I12" i="5"/>
  <c r="I11" i="5"/>
  <c r="I10" i="5"/>
  <c r="I9" i="5"/>
  <c r="I8" i="5"/>
  <c r="I7" i="5"/>
  <c r="I6" i="5"/>
  <c r="I5" i="5"/>
  <c r="I4" i="5"/>
  <c r="I3" i="5"/>
  <c r="I2" i="5"/>
  <c r="H13" i="5"/>
  <c r="H12" i="5"/>
  <c r="H11" i="5"/>
  <c r="H10" i="5"/>
  <c r="H9" i="5"/>
  <c r="H8" i="5"/>
  <c r="H7" i="5"/>
  <c r="H6" i="5"/>
  <c r="H5" i="5"/>
  <c r="H4" i="5"/>
  <c r="H3" i="5"/>
  <c r="H2" i="5"/>
  <c r="G13" i="5"/>
  <c r="G12" i="5"/>
  <c r="G11" i="5"/>
  <c r="G10" i="5"/>
  <c r="G9" i="5"/>
  <c r="G8" i="5"/>
  <c r="G7" i="5"/>
  <c r="G6" i="5"/>
  <c r="G5" i="5"/>
  <c r="G4" i="5"/>
  <c r="G3" i="5"/>
  <c r="G2" i="5"/>
  <c r="F2" i="5"/>
  <c r="F3" i="5"/>
  <c r="F4" i="5"/>
  <c r="F5" i="5"/>
  <c r="F6" i="5"/>
  <c r="F7" i="5"/>
  <c r="F8" i="5"/>
  <c r="F9" i="5"/>
  <c r="F10" i="5"/>
  <c r="F11" i="5"/>
  <c r="F12" i="5"/>
  <c r="F13" i="5"/>
  <c r="E13" i="5"/>
  <c r="E12" i="5"/>
  <c r="E11" i="5"/>
  <c r="E10" i="5"/>
  <c r="E9" i="5"/>
  <c r="E8" i="5"/>
  <c r="E7" i="5"/>
  <c r="E6" i="5"/>
  <c r="E5" i="5"/>
  <c r="E4" i="5"/>
  <c r="E3" i="5"/>
  <c r="E2" i="5"/>
  <c r="D2" i="5"/>
  <c r="D3" i="5"/>
  <c r="D4" i="5"/>
  <c r="D5" i="5"/>
  <c r="D6" i="5"/>
  <c r="D7" i="5"/>
  <c r="D8" i="5"/>
  <c r="D9" i="5"/>
  <c r="D10" i="5"/>
  <c r="D11" i="5"/>
  <c r="D12" i="5"/>
  <c r="D13" i="5"/>
  <c r="C13" i="5"/>
  <c r="C12" i="5"/>
  <c r="C11" i="5"/>
  <c r="C10" i="5"/>
  <c r="C9" i="5"/>
  <c r="C8" i="5"/>
  <c r="C7" i="5"/>
  <c r="C6" i="5"/>
  <c r="C5" i="5"/>
  <c r="C4" i="5"/>
  <c r="C3" i="5"/>
  <c r="C2" i="5"/>
  <c r="B3" i="5"/>
  <c r="J3" i="5" s="1"/>
  <c r="B4" i="5" s="1"/>
  <c r="J4" i="5" s="1"/>
  <c r="B5" i="5" s="1"/>
  <c r="J5" i="5" s="1"/>
  <c r="B6" i="5" s="1"/>
  <c r="J6" i="5" s="1"/>
  <c r="B7" i="5" s="1"/>
  <c r="J7" i="5" s="1"/>
  <c r="B8" i="5" s="1"/>
  <c r="J8" i="5" s="1"/>
  <c r="B9" i="5" s="1"/>
  <c r="J9" i="5" s="1"/>
  <c r="B10" i="5" s="1"/>
  <c r="J10" i="5" s="1"/>
  <c r="B11" i="5" s="1"/>
  <c r="J11" i="5" s="1"/>
  <c r="B12" i="5" s="1"/>
  <c r="J12" i="5" s="1"/>
  <c r="B13" i="5" s="1"/>
  <c r="J13" i="5" s="1"/>
  <c r="B2" i="5"/>
  <c r="A13" i="5"/>
  <c r="A12" i="5"/>
  <c r="A11" i="5"/>
  <c r="A10" i="5"/>
  <c r="A9" i="5"/>
  <c r="A8" i="5"/>
  <c r="A7" i="5"/>
  <c r="A6" i="5"/>
  <c r="A5" i="5"/>
  <c r="A4" i="5"/>
  <c r="A3" i="5"/>
  <c r="A2" i="5"/>
  <c r="Y13" i="4"/>
  <c r="Y12" i="4"/>
  <c r="Y11" i="4"/>
  <c r="Y10" i="4"/>
  <c r="Y9" i="4"/>
  <c r="Y8" i="4"/>
  <c r="Y7" i="4"/>
  <c r="Y6" i="4"/>
  <c r="Y5" i="4"/>
  <c r="Y4" i="4"/>
  <c r="Y3" i="4"/>
  <c r="Y2" i="4"/>
  <c r="U9" i="4"/>
  <c r="U8" i="4"/>
  <c r="U7" i="4"/>
  <c r="U6" i="4"/>
  <c r="U5" i="4"/>
  <c r="U4" i="4"/>
  <c r="U3" i="4"/>
  <c r="U2" i="4"/>
  <c r="T9" i="4"/>
  <c r="T8" i="4"/>
  <c r="T7" i="4"/>
  <c r="T6" i="4"/>
  <c r="T5" i="4"/>
  <c r="T4" i="4"/>
  <c r="T3" i="4"/>
  <c r="T2" i="4"/>
  <c r="S9" i="4"/>
  <c r="S8" i="4"/>
  <c r="S7" i="4"/>
  <c r="S6" i="4"/>
  <c r="S5" i="4"/>
  <c r="S4" i="4"/>
  <c r="S3" i="4"/>
  <c r="S2" i="4"/>
  <c r="R9" i="4" a="1"/>
  <c r="R8" i="4" a="1"/>
  <c r="R7" i="4" a="1"/>
  <c r="R6" i="4" a="1"/>
  <c r="R5" i="4" a="1"/>
  <c r="R4" i="4" a="1"/>
  <c r="R3" i="4" a="1"/>
  <c r="R2" i="4" a="1"/>
  <c r="N15" i="4"/>
  <c r="I15" i="4"/>
  <c r="G15" i="4"/>
  <c r="N2" i="4"/>
  <c r="L13" i="4" a="1"/>
  <c r="L12" i="4" a="1"/>
  <c r="L11" i="4" a="1"/>
  <c r="L10" i="4" a="1"/>
  <c r="L9" i="4" a="1"/>
  <c r="L8" i="4" a="1"/>
  <c r="L7" i="4" a="1"/>
  <c r="L6" i="4" a="1"/>
  <c r="L5" i="4" a="1"/>
  <c r="L4" i="4" a="1"/>
  <c r="L3" i="4" a="1"/>
  <c r="L2" i="4" a="1"/>
  <c r="K13" i="4" a="1"/>
  <c r="M13" i="4" s="1"/>
  <c r="K12" i="4" a="1"/>
  <c r="M12" i="4" s="1"/>
  <c r="K11" i="4" a="1"/>
  <c r="K10" i="4" a="1"/>
  <c r="K9" i="4" a="1"/>
  <c r="M9" i="4" s="1"/>
  <c r="K8" i="4" a="1"/>
  <c r="K7" i="4" a="1"/>
  <c r="M7" i="4" s="1"/>
  <c r="K6" i="4" a="1"/>
  <c r="M6" i="4" s="1"/>
  <c r="K5" i="4" a="1"/>
  <c r="M5" i="4" s="1"/>
  <c r="K4" i="4" a="1"/>
  <c r="M4" i="4" s="1"/>
  <c r="K3" i="4" a="1"/>
  <c r="M3" i="4" s="1"/>
  <c r="K2" i="4" a="1"/>
  <c r="I13" i="4"/>
  <c r="I12" i="4"/>
  <c r="I11" i="4"/>
  <c r="I10" i="4"/>
  <c r="I9" i="4"/>
  <c r="I8" i="4"/>
  <c r="I7" i="4"/>
  <c r="I6" i="4"/>
  <c r="I5" i="4"/>
  <c r="I4" i="4"/>
  <c r="I3" i="4"/>
  <c r="I2" i="4"/>
  <c r="G13" i="4"/>
  <c r="G12" i="4"/>
  <c r="G11" i="4"/>
  <c r="G10" i="4"/>
  <c r="G9" i="4"/>
  <c r="G8" i="4"/>
  <c r="G7" i="4"/>
  <c r="G6" i="4"/>
  <c r="G5" i="4"/>
  <c r="G4" i="4"/>
  <c r="G3" i="4"/>
  <c r="G2" i="4"/>
  <c r="D13" i="4" a="1"/>
  <c r="J13" i="4" s="1"/>
  <c r="D12" i="4" a="1"/>
  <c r="J12" i="4" s="1"/>
  <c r="D11" i="4" a="1"/>
  <c r="J11" i="4" s="1"/>
  <c r="D10" i="4" a="1"/>
  <c r="J10" i="4" s="1"/>
  <c r="D9" i="4" a="1"/>
  <c r="J9" i="4" s="1"/>
  <c r="D8" i="4" a="1"/>
  <c r="J8" i="4" s="1"/>
  <c r="D7" i="4" a="1"/>
  <c r="J7" i="4" s="1"/>
  <c r="D6" i="4" a="1"/>
  <c r="J6" i="4" s="1"/>
  <c r="D5" i="4" a="1"/>
  <c r="J5" i="4" s="1"/>
  <c r="D4" i="4" a="1"/>
  <c r="J4" i="4" s="1"/>
  <c r="D3" i="4" a="1"/>
  <c r="J3" i="4" s="1"/>
  <c r="D2" i="4" a="1"/>
  <c r="C13" i="4" a="1"/>
  <c r="C12" i="4" a="1"/>
  <c r="C11" i="4" a="1"/>
  <c r="C10" i="4" a="1"/>
  <c r="C9" i="4" a="1"/>
  <c r="C8" i="4" a="1"/>
  <c r="C7" i="4" a="1"/>
  <c r="C6" i="4" a="1"/>
  <c r="C5" i="4" a="1"/>
  <c r="C4" i="4" a="1"/>
  <c r="C3" i="4" a="1"/>
  <c r="C2" i="4" a="1"/>
  <c r="B13" i="4"/>
  <c r="B12" i="4"/>
  <c r="B11" i="4"/>
  <c r="B10" i="4"/>
  <c r="B9" i="4"/>
  <c r="B8" i="4"/>
  <c r="B7" i="4"/>
  <c r="B6" i="4"/>
  <c r="B5" i="4"/>
  <c r="B4" i="4"/>
  <c r="B3" i="4"/>
  <c r="B2" i="4"/>
  <c r="A13" i="4"/>
  <c r="A12" i="4"/>
  <c r="A11" i="4"/>
  <c r="A10" i="4"/>
  <c r="A9" i="4"/>
  <c r="A8" i="4"/>
  <c r="A7" i="4"/>
  <c r="A6" i="4"/>
  <c r="A5" i="4"/>
  <c r="A4" i="4"/>
  <c r="A3" i="4"/>
  <c r="A2" i="4"/>
  <c r="E16" i="2" a="1"/>
  <c r="A16" i="2" a="1"/>
  <c r="I16" i="2" s="1"/>
  <c r="I19" i="2" s="1"/>
  <c r="E9" i="2" a="1"/>
  <c r="A9" i="2" a="1"/>
  <c r="R2" i="2"/>
  <c r="N4" i="2"/>
  <c r="G4" i="2"/>
  <c r="B4" i="2"/>
  <c r="M16" i="2" l="1" a="1"/>
  <c r="M19" i="2" s="1"/>
  <c r="E12" i="2"/>
  <c r="A12" i="2"/>
  <c r="M10" i="4"/>
  <c r="M8" i="4"/>
  <c r="M11" i="4"/>
  <c r="L15" i="4"/>
  <c r="M2" i="4"/>
  <c r="K15" i="4"/>
  <c r="J2" i="4"/>
  <c r="J15" i="4" s="1"/>
  <c r="D15" i="4"/>
  <c r="Z13" i="4"/>
  <c r="H13" i="4"/>
  <c r="E13" i="4"/>
  <c r="F13" i="4" s="1"/>
  <c r="Z12" i="4"/>
  <c r="E12" i="4"/>
  <c r="H12" i="4"/>
  <c r="F12" i="4"/>
  <c r="Z11" i="4"/>
  <c r="H11" i="4"/>
  <c r="E11" i="4"/>
  <c r="F11" i="4" s="1"/>
  <c r="E10" i="4"/>
  <c r="F10" i="4" s="1"/>
  <c r="Z10" i="4"/>
  <c r="H10" i="4"/>
  <c r="E9" i="4"/>
  <c r="Z9" i="4"/>
  <c r="H9" i="4"/>
  <c r="F9" i="4"/>
  <c r="E8" i="4"/>
  <c r="F8" i="4"/>
  <c r="Z8" i="4"/>
  <c r="H8" i="4"/>
  <c r="Z7" i="4"/>
  <c r="H7" i="4"/>
  <c r="E7" i="4"/>
  <c r="F7" i="4" s="1"/>
  <c r="H6" i="4"/>
  <c r="Z6" i="4"/>
  <c r="E6" i="4"/>
  <c r="F6" i="4" s="1"/>
  <c r="H5" i="4"/>
  <c r="Z5" i="4"/>
  <c r="E5" i="4"/>
  <c r="F5" i="4" s="1"/>
  <c r="H4" i="4"/>
  <c r="Z4" i="4"/>
  <c r="E4" i="4"/>
  <c r="F4" i="4" s="1"/>
  <c r="H3" i="4"/>
  <c r="Z3" i="4"/>
  <c r="E3" i="4"/>
  <c r="F3" i="4" s="1"/>
  <c r="Z2" i="4"/>
  <c r="C15" i="4"/>
  <c r="H2" i="4"/>
  <c r="E2" i="4"/>
  <c r="F2" i="4" s="1"/>
  <c r="I9" i="2"/>
  <c r="O2" i="4" l="1"/>
  <c r="N3" i="4" s="1"/>
  <c r="O3" i="4" s="1"/>
  <c r="N4" i="4" s="1"/>
  <c r="O4" i="4" s="1"/>
  <c r="N5" i="4" s="1"/>
  <c r="O5" i="4" s="1"/>
  <c r="N6" i="4" s="1"/>
  <c r="O6" i="4" s="1"/>
  <c r="N7" i="4" s="1"/>
  <c r="O7" i="4" s="1"/>
  <c r="N8" i="4" s="1"/>
  <c r="O8" i="4" s="1"/>
  <c r="N9" i="4" s="1"/>
  <c r="O9" i="4" s="1"/>
  <c r="N10" i="4" s="1"/>
  <c r="O10" i="4" s="1"/>
  <c r="N11" i="4" s="1"/>
  <c r="O11" i="4" s="1"/>
  <c r="N12" i="4" s="1"/>
  <c r="O12" i="4" s="1"/>
  <c r="N13" i="4" s="1"/>
  <c r="O13" i="4" s="1"/>
  <c r="O15" i="4" s="1"/>
  <c r="M15" i="4"/>
  <c r="W13" i="4"/>
  <c r="X13" i="4"/>
  <c r="W12" i="4"/>
  <c r="X12" i="4"/>
  <c r="W11" i="4"/>
  <c r="X11" i="4"/>
  <c r="W10" i="4"/>
  <c r="X10" i="4"/>
  <c r="W9" i="4"/>
  <c r="X9" i="4"/>
  <c r="W8" i="4"/>
  <c r="X8" i="4"/>
  <c r="W7" i="4"/>
  <c r="X7" i="4"/>
  <c r="W6" i="4"/>
  <c r="X6" i="4"/>
  <c r="W5" i="4"/>
  <c r="X5" i="4"/>
  <c r="W4" i="4"/>
  <c r="X4" i="4"/>
  <c r="W3" i="4"/>
  <c r="X3" i="4"/>
  <c r="E15" i="4"/>
  <c r="F15" i="4" s="1"/>
  <c r="W2" i="4"/>
  <c r="X2" i="4"/>
  <c r="H15" i="4"/>
  <c r="I12" i="2"/>
  <c r="M9" i="2"/>
  <c r="M1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<sst xmlns="http://schemas.openxmlformats.org/spreadsheetml/2006/main" count="1381" uniqueCount="210">
  <si>
    <t>Transaction ID</t>
  </si>
  <si>
    <t>Date</t>
  </si>
  <si>
    <t>Transaction Type</t>
  </si>
  <si>
    <t>Category</t>
  </si>
  <si>
    <t>Description</t>
  </si>
  <si>
    <t>Customer/Vendor</t>
  </si>
  <si>
    <t>Payment Method</t>
  </si>
  <si>
    <t>Amount</t>
  </si>
  <si>
    <t>Tax Rate</t>
  </si>
  <si>
    <t>Tax Amount</t>
  </si>
  <si>
    <t>Total Amount</t>
  </si>
  <si>
    <t>Payment Status</t>
  </si>
  <si>
    <t>Cash Impact</t>
  </si>
  <si>
    <t>Notes</t>
  </si>
  <si>
    <t>Expense</t>
  </si>
  <si>
    <t>Office Supplies</t>
  </si>
  <si>
    <t>Office Supplies monthly cost</t>
  </si>
  <si>
    <t>Office Depot</t>
  </si>
  <si>
    <t>Credit Card</t>
  </si>
  <si>
    <t>Paid</t>
  </si>
  <si>
    <t>Sample data — replace with your own</t>
  </si>
  <si>
    <t>Income</t>
  </si>
  <si>
    <t>Consulting Income</t>
  </si>
  <si>
    <t>Service sale / project delivery</t>
  </si>
  <si>
    <t>Greenfield Cafe</t>
  </si>
  <si>
    <t>Bank Transfer</t>
  </si>
  <si>
    <t>Product Sales</t>
  </si>
  <si>
    <t>Product sale / project delivery</t>
  </si>
  <si>
    <t>Urban Nest</t>
  </si>
  <si>
    <t>Online Payment</t>
  </si>
  <si>
    <t>Service Revenue</t>
  </si>
  <si>
    <t>Brightline Studio</t>
  </si>
  <si>
    <t>Shipping</t>
  </si>
  <si>
    <t>Shipping monthly cost</t>
  </si>
  <si>
    <t>Metro Logistics</t>
  </si>
  <si>
    <t>Northstar Retail</t>
  </si>
  <si>
    <t>Rent</t>
  </si>
  <si>
    <t>Rent monthly cost</t>
  </si>
  <si>
    <t>Workspace Rentals</t>
  </si>
  <si>
    <t>Direct Debit</t>
  </si>
  <si>
    <t>Bluebird Supplies</t>
  </si>
  <si>
    <t>Software</t>
  </si>
  <si>
    <t>Software monthly cost</t>
  </si>
  <si>
    <t>Cloud Software Co</t>
  </si>
  <si>
    <t>Pending</t>
  </si>
  <si>
    <t>Insurance</t>
  </si>
  <si>
    <t>Insurance monthly cost</t>
  </si>
  <si>
    <t>Business Insurance Co</t>
  </si>
  <si>
    <t>Phone &amp; Internet</t>
  </si>
  <si>
    <t>Phone &amp; Internet monthly cost</t>
  </si>
  <si>
    <t>Mobile Provider</t>
  </si>
  <si>
    <t>Marketing</t>
  </si>
  <si>
    <t>Marketing monthly cost</t>
  </si>
  <si>
    <t>Digital Ads Ltd</t>
  </si>
  <si>
    <t>Utilities</t>
  </si>
  <si>
    <t>Utilities monthly cost</t>
  </si>
  <si>
    <t>Local Utilities</t>
  </si>
  <si>
    <t>Cedar Works</t>
  </si>
  <si>
    <t>Peak Fitness</t>
  </si>
  <si>
    <t>Cash</t>
  </si>
  <si>
    <t>Maple &amp; Main</t>
  </si>
  <si>
    <t>WORKBOOK SETTINGS - USD REPORTING</t>
  </si>
  <si>
    <t>Setting</t>
  </si>
  <si>
    <t>Value</t>
  </si>
  <si>
    <t>Guidance</t>
  </si>
  <si>
    <t>Business Name</t>
  </si>
  <si>
    <t>Your Business Name</t>
  </si>
  <si>
    <t>Editable input</t>
  </si>
  <si>
    <t>Business Type</t>
  </si>
  <si>
    <t>Reporting Year</t>
  </si>
  <si>
    <t>Derived from source transaction dates</t>
  </si>
  <si>
    <t>Currency Code</t>
  </si>
  <si>
    <t>USD</t>
  </si>
  <si>
    <t>Fixed reporting basis</t>
  </si>
  <si>
    <t>Currency Name</t>
  </si>
  <si>
    <t>US Dollar</t>
  </si>
  <si>
    <t>Currency Symbol</t>
  </si>
  <si>
    <t>$</t>
  </si>
  <si>
    <t>Opening Cash Balance</t>
  </si>
  <si>
    <t>Illustrative source input - confirm before use</t>
  </si>
  <si>
    <t>Default Tax Rate</t>
  </si>
  <si>
    <t>Illustrative source input - confirm applicable treatment</t>
  </si>
  <si>
    <t>Target Profit Margin</t>
  </si>
  <si>
    <t>Editable performance assumption</t>
  </si>
  <si>
    <t>Low Cash Threshold</t>
  </si>
  <si>
    <t>Editable cash warning threshold</t>
  </si>
  <si>
    <t>Revenue Warning Threshold</t>
  </si>
  <si>
    <t>Editable: actual revenue / budget</t>
  </si>
  <si>
    <t>Expense Warning Threshold</t>
  </si>
  <si>
    <t>Editable: actual expense / budget</t>
  </si>
  <si>
    <t>EDITABLE BUDGET INPUTS - ILLUSTRATIVE SOURCE VALUES</t>
  </si>
  <si>
    <t>Month</t>
  </si>
  <si>
    <t>Revenue Budget</t>
  </si>
  <si>
    <t>Expense Budget</t>
  </si>
  <si>
    <t>Marketing Budget</t>
  </si>
  <si>
    <t>Illustrative budget - customize for your business</t>
  </si>
  <si>
    <t>SMALL BUSINESS FINANCIAL DASHBOARD</t>
  </si>
  <si>
    <t>Financial Performance | Profitability | Cash Flow | Budget Analysis</t>
  </si>
  <si>
    <t>BUSINESS NAME</t>
  </si>
  <si>
    <t>REPORTING YEAR</t>
  </si>
  <si>
    <t>REPORTING PERIOD</t>
  </si>
  <si>
    <t>Full Year</t>
  </si>
  <si>
    <t>CURRENCY</t>
  </si>
  <si>
    <t>CATEGORY</t>
  </si>
  <si>
    <t>All</t>
  </si>
  <si>
    <t>TRANSACTION TYPE</t>
  </si>
  <si>
    <t>PAYMENT STATUS</t>
  </si>
  <si>
    <t>REPORTING STATUS</t>
  </si>
  <si>
    <t>Source data complete for 2025</t>
  </si>
  <si>
    <t>TOTAL REVENUE</t>
  </si>
  <si>
    <t>Revenue earned during the selected period.</t>
  </si>
  <si>
    <t>OPERATING EXPENSES</t>
  </si>
  <si>
    <t>Operating costs during the selected period.</t>
  </si>
  <si>
    <t>OPERATING PROFIT</t>
  </si>
  <si>
    <t>Revenue less operating expenses.</t>
  </si>
  <si>
    <t>OPERATING PROFIT MARGIN</t>
  </si>
  <si>
    <t>Operating profit as a percentage of revenue.</t>
  </si>
  <si>
    <t>CASH INFLOWS</t>
  </si>
  <si>
    <t>Cash received from paid transactions.</t>
  </si>
  <si>
    <t>CASH OUTFLOWS</t>
  </si>
  <si>
    <t>Cash paid for eligible expenses.</t>
  </si>
  <si>
    <t>NET CASH FLOW</t>
  </si>
  <si>
    <t>Cash inflows less cash outflows.</t>
  </si>
  <si>
    <t>CLOSING CASH BALANCE</t>
  </si>
  <si>
    <t>Opening cash plus cumulative cash movements.</t>
  </si>
  <si>
    <t>Paid income only</t>
  </si>
  <si>
    <t>Paid expenses only</t>
  </si>
  <si>
    <t>Month Start</t>
  </si>
  <si>
    <t>Month Name</t>
  </si>
  <si>
    <t>Revenue</t>
  </si>
  <si>
    <t>Operating Expenses</t>
  </si>
  <si>
    <t>Operating Profit</t>
  </si>
  <si>
    <t>Operating Profit Margin</t>
  </si>
  <si>
    <t>Revenue Variance</t>
  </si>
  <si>
    <t>Expense Variance</t>
  </si>
  <si>
    <t>Cash Inflows</t>
  </si>
  <si>
    <t>Cash Outflows</t>
  </si>
  <si>
    <t>Net Cash Flow</t>
  </si>
  <si>
    <t>Closing Cash Balance</t>
  </si>
  <si>
    <t>Annual Total</t>
  </si>
  <si>
    <t>Expense Category</t>
  </si>
  <si>
    <t>Expense Amount</t>
  </si>
  <si>
    <t>Sort Rank</t>
  </si>
  <si>
    <t>Sorted Category</t>
  </si>
  <si>
    <t>Sorted Amount</t>
  </si>
  <si>
    <t>Positive Profit</t>
  </si>
  <si>
    <t>Negative Profit</t>
  </si>
  <si>
    <t>Actual Revenue</t>
  </si>
  <si>
    <t>Customer Cash Receipts</t>
  </si>
  <si>
    <t>Other Cash Inflows</t>
  </si>
  <si>
    <t>Supplier Payments</t>
  </si>
  <si>
    <t>Other Operating Payments</t>
  </si>
  <si>
    <t>Total Cash Inflows</t>
  </si>
  <si>
    <t>Total Cash Outflows</t>
  </si>
  <si>
    <t>Cash Alert</t>
  </si>
  <si>
    <t>Note: The $10,000 opening cash balance is an illustrative source input and must be confirmed before real-world use. Blank other-inflow/payment columns mean the source does not separately identify those classifications.</t>
  </si>
  <si>
    <t>Revenue Achievement Percentage</t>
  </si>
  <si>
    <t>Actual Expenses</t>
  </si>
  <si>
    <t>Expense Budget Utilization Percentage</t>
  </si>
  <si>
    <t>Performance Status</t>
  </si>
  <si>
    <t>SMALL BUSINESS FINANCIAL DASHBOARD - USER GUIDE</t>
  </si>
  <si>
    <t>Topic</t>
  </si>
  <si>
    <t>Workbook overview</t>
  </si>
  <si>
    <t>Dashboard provides eight KPIs and six charts; supporting tabs contain transactions, monthly calculations, cash flow, budget analysis, and settings.</t>
  </si>
  <si>
    <t>Update transactions</t>
  </si>
  <si>
    <t>Add one row per transaction at the bottom of tblTransactions. Keep dates as valid Excel dates and amounts as numeric USD values.</t>
  </si>
  <si>
    <t>Reporting year</t>
  </si>
  <si>
    <t>Change Settings &gt; Reporting Year. Monthly reports and charts recalculate from actual transaction dates.</t>
  </si>
  <si>
    <t>Update budgets</t>
  </si>
  <si>
    <t>Edit tblBudget on Budget vs Actual. Source budgets are illustrative and not confirmed operating targets.</t>
  </si>
  <si>
    <t>Opening cash balance</t>
  </si>
  <si>
    <t>Confirm or replace the $10,000 input in Settings before using closing cash for decisions.</t>
  </si>
  <si>
    <t>Reporting filters</t>
  </si>
  <si>
    <t>Use the Dashboard dropdowns for period, category, transaction type, and payment status. Year is controlled in Settings.</t>
  </si>
  <si>
    <t>KPI: Total Revenue</t>
  </si>
  <si>
    <t>Income Amount excluding identifiable sales tax for the selected period.</t>
  </si>
  <si>
    <t>KPI: Operating Expenses</t>
  </si>
  <si>
    <t>Expense Amount excluding identifiable tax for the selected period.</t>
  </si>
  <si>
    <t>KPI: Operating Profit</t>
  </si>
  <si>
    <t>Revenue less operating expenses; this is not the same as cash flow.</t>
  </si>
  <si>
    <t>KPI: Operating Profit Margin</t>
  </si>
  <si>
    <t>Operating profit divided by revenue; N/A is shown when revenue is zero.</t>
  </si>
  <si>
    <t>KPI: Cash Inflows</t>
  </si>
  <si>
    <t>Positive Cash Impact from paid income transactions only.</t>
  </si>
  <si>
    <t>KPI: Cash Outflows</t>
  </si>
  <si>
    <t>Magnitude of negative Cash Impact from paid expense transactions only.</t>
  </si>
  <si>
    <t>KPI: Net Cash Flow</t>
  </si>
  <si>
    <t>Cash inflows less cash outflows. Pending items are excluded.</t>
  </si>
  <si>
    <t>KPI: Closing Cash Balance</t>
  </si>
  <si>
    <t>Opening cash plus cumulative paid cash movements; compare with the low-cash threshold.</t>
  </si>
  <si>
    <t>Profit vs cash flow</t>
  </si>
  <si>
    <t>Profit uses pre-tax Amount for all eligible income and expense records. Cash flow uses paid Total Amount through Cash Impact, so timing and tax create differences.</t>
  </si>
  <si>
    <t>Charts 1-3</t>
  </si>
  <si>
    <t>Compare monthly revenue and expenses, operating profit, and paid cash movement trends.</t>
  </si>
  <si>
    <t>Charts 4 and 6</t>
  </si>
  <si>
    <t>Show the expense mix and category ranking for the reporting year.</t>
  </si>
  <si>
    <t>Chart 5</t>
  </si>
  <si>
    <t>Compares illustrative revenue budget with actual pre-tax revenue by month.</t>
  </si>
  <si>
    <t>Payment status</t>
  </si>
  <si>
    <t>Paid transactions affect cash; Pending transactions do not affect cash until marked Paid and Cash Impact is updated.</t>
  </si>
  <si>
    <t>Tax treatment</t>
  </si>
  <si>
    <t>Amount excludes tax and drives profit reporting. Tax Amount is kept separate. Total Amount and Cash Impact include tax where supplied.</t>
  </si>
  <si>
    <t>Currency</t>
  </si>
  <si>
    <t>All financial reporting is in USD (US Dollar) using the $ symbol. No currency conversion is applied.</t>
  </si>
  <si>
    <t>Known limitations</t>
  </si>
  <si>
    <t>All 168 records are fictional sample data. Budgets and opening cash are illustrative; no prior-year comparison data exists; other cash-flow classifications are not separately identified.</t>
  </si>
  <si>
    <t>Troubleshooting</t>
  </si>
  <si>
    <t>If formulas or charts appear blank, confirm valid dates, exact Income/Expense and Paid/Pending labels, numeric amounts, and a reporting year that matches the data.</t>
  </si>
  <si>
    <t>Disclaimer</t>
  </si>
  <si>
    <t>This template is for financial management and is not a substitute for professional accounting or tax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</si>
</sst>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\ d\,\ yyyy"/>
    <numFmt numFmtId="166" formatCode="0.0%;\(0.0%\);\-"/>
    <numFmt numFmtId="167" formatCode="mmm\ yyyy"/>
    <numFmt numFmtId="169" formatCode="\$#,##0.00;\(\$#,##0.00\);\-"/>
    <numFmt numFmtId="172" formatCode="\$#,##0;\(\$#,##0\);\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1"/>
      <color rgb="FFF8FAFC"/>
      <name val="Aptos"/>
    </font>
    <font>
      <b/>
      <sz val="11"/>
      <color rgb="FFF8FAFC"/>
      <name val="Aptos"/>
    </font>
    <font>
      <sz val="11"/>
      <color rgb="FFCBD5E1"/>
      <name val="Aptos"/>
    </font>
    <font>
      <b/>
      <sz val="18"/>
      <color rgb="FFF8FAFC"/>
      <name val="Aptos"/>
    </font>
    <font>
      <b/>
      <sz val="24"/>
      <color theme="1"/>
      <name val="Aptos Display"/>
    </font>
    <font>
      <sz val="11"/>
      <color rgb="FF94A3B8"/>
      <name val="Aptos Narrow"/>
      <family val="2"/>
      <scheme val="minor"/>
    </font>
    <font>
      <sz val="9"/>
      <color rgb="FFF8FAFC"/>
      <name val="Aptos"/>
    </font>
    <font>
      <sz val="9"/>
      <color rgb="FF94A3B8"/>
      <name val="Aptos"/>
    </font>
    <font>
      <b/>
      <sz val="9"/>
      <color rgb="FFF8FAFC"/>
      <name val="Aptos Narrow"/>
      <family val="2"/>
      <scheme val="minor"/>
    </font>
    <font>
      <b/>
      <sz val="10"/>
      <color rgb="FF94A3B8"/>
      <name val="Aptos Narrow"/>
      <family val="2"/>
      <scheme val="minor"/>
    </font>
    <font>
      <b/>
      <sz val="25"/>
      <color theme="1"/>
      <name val="Aptos Narrow"/>
      <family val="2"/>
      <scheme val="minor"/>
    </font>
    <font>
      <sz val="9"/>
      <color rgb="FFCBD5E1"/>
      <name val="Aptos Narrow"/>
      <family val="2"/>
      <scheme val="minor"/>
    </font>
    <font>
      <sz val="9"/>
      <color rgb="FF94A3B8"/>
      <name val="Aptos Narrow"/>
      <family val="2"/>
      <scheme val="minor"/>
    </font>
    <font>
      <b/>
      <sz val="11"/>
      <color theme="1"/>
      <name val="Aptos"/>
    </font>
    <font>
      <sz val="11"/>
      <color rgb="FF7F6000"/>
      <name val="Aptos"/>
    </font>
    <font>
      <b/>
      <sz val="11"/>
      <color rgb="FFF8FAFC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0B1220"/>
        <bgColor indexed="64"/>
      </patternFill>
    </fill>
    <fill>
      <patternFill patternType="solid">
        <fgColor rgb="FF111C2E"/>
        <bgColor indexed="64"/>
      </patternFill>
    </fill>
    <fill>
      <patternFill patternType="solid">
        <fgColor rgb="FF153E52"/>
        <bgColor indexed="64"/>
      </patternFill>
    </fill>
    <fill>
      <patternFill patternType="solid">
        <fgColor rgb="FF1B2B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29384D"/>
      </bottom>
      <diagonal/>
    </border>
    <border>
      <left/>
      <right/>
      <top style="thin">
        <color rgb="FF29384D"/>
      </top>
      <bottom style="thin">
        <color rgb="FF29384D"/>
      </bottom>
      <diagonal/>
    </border>
    <border>
      <left/>
      <right/>
      <top style="thin">
        <color rgb="FF29384D"/>
      </top>
      <bottom/>
      <diagonal/>
    </border>
    <border>
      <left style="thin">
        <color rgb="FF29384D"/>
      </left>
      <right/>
      <top style="thin">
        <color rgb="FF29384D"/>
      </top>
      <bottom/>
      <diagonal/>
    </border>
    <border>
      <left style="thin">
        <color rgb="FF29384D"/>
      </left>
      <right/>
      <top/>
      <bottom/>
      <diagonal/>
    </border>
    <border>
      <left style="thin">
        <color rgb="FF29384D"/>
      </left>
      <right/>
      <top/>
      <bottom style="thin">
        <color rgb="FF29384D"/>
      </bottom>
      <diagonal/>
    </border>
    <border>
      <left/>
      <right style="thin">
        <color rgb="FF29384D"/>
      </right>
      <top style="thin">
        <color rgb="FF29384D"/>
      </top>
      <bottom/>
      <diagonal/>
    </border>
    <border>
      <left/>
      <right style="thin">
        <color rgb="FF29384D"/>
      </right>
      <top/>
      <bottom/>
      <diagonal/>
    </border>
    <border>
      <left/>
      <right style="thin">
        <color rgb="FF29384D"/>
      </right>
      <top/>
      <bottom style="thin">
        <color rgb="FF29384D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166" fontId="1" fillId="0" borderId="0" xfId="0" applyNumberFormat="1" applyFont="1"/>
    <xf numFmtId="49" fontId="3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0" fillId="0" borderId="0" xfId="0"/>
    <xf numFmtId="0" fontId="5" fillId="3" borderId="0" xfId="0" applyFont="1" applyFill="1"/>
    <xf numFmtId="0" fontId="3" fillId="2" borderId="0" xfId="0" applyFont="1" applyFill="1"/>
    <xf numFmtId="0" fontId="4" fillId="4" borderId="0" xfId="0" applyFont="1" applyFill="1"/>
    <xf numFmtId="0" fontId="3" fillId="5" borderId="0" xfId="0" applyFont="1" applyFill="1"/>
    <xf numFmtId="166" fontId="3" fillId="5" borderId="0" xfId="0" applyNumberFormat="1" applyFont="1" applyFill="1"/>
    <xf numFmtId="167" fontId="0" fillId="0" borderId="0" xfId="0" applyNumberFormat="1"/>
    <xf numFmtId="0" fontId="2" fillId="3" borderId="0" xfId="0" applyFont="1" applyFill="1"/>
    <xf numFmtId="0" fontId="6" fillId="0" borderId="0" xfId="0" applyFont="1"/>
    <xf numFmtId="0" fontId="7" fillId="0" borderId="0" xfId="0" applyFont="1"/>
    <xf numFmtId="0" fontId="8" fillId="3" borderId="0" xfId="0" applyFont="1" applyFill="1"/>
    <xf numFmtId="0" fontId="9" fillId="3" borderId="0" xfId="0" applyFont="1" applyFill="1"/>
    <xf numFmtId="0" fontId="10" fillId="6" borderId="0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11" fillId="0" borderId="4" xfId="0" applyFont="1" applyBorder="1"/>
    <xf numFmtId="0" fontId="0" fillId="0" borderId="5" xfId="0" applyBorder="1"/>
    <xf numFmtId="0" fontId="0" fillId="0" borderId="8" xfId="0" applyBorder="1"/>
    <xf numFmtId="0" fontId="13" fillId="0" borderId="5" xfId="0" applyFont="1" applyBorder="1"/>
    <xf numFmtId="0" fontId="0" fillId="0" borderId="6" xfId="0" applyBorder="1"/>
    <xf numFmtId="0" fontId="0" fillId="0" borderId="1" xfId="0" applyBorder="1"/>
    <xf numFmtId="0" fontId="0" fillId="0" borderId="9" xfId="0" applyBorder="1"/>
    <xf numFmtId="0" fontId="14" fillId="0" borderId="5" xfId="0" applyFont="1" applyBorder="1"/>
    <xf numFmtId="0" fontId="0" fillId="0" borderId="0" xfId="0" applyBorder="1"/>
    <xf numFmtId="166" fontId="12" fillId="0" borderId="5" xfId="0" applyNumberFormat="1" applyFont="1" applyBorder="1"/>
    <xf numFmtId="0" fontId="15" fillId="7" borderId="0" xfId="0" applyFont="1" applyFill="1"/>
    <xf numFmtId="166" fontId="15" fillId="7" borderId="0" xfId="0" applyNumberFormat="1" applyFont="1" applyFill="1"/>
    <xf numFmtId="0" fontId="1" fillId="8" borderId="0" xfId="0" applyFont="1" applyFill="1"/>
    <xf numFmtId="0" fontId="16" fillId="8" borderId="0" xfId="0" applyFont="1" applyFill="1" applyAlignment="1">
      <alignment wrapText="1"/>
    </xf>
    <xf numFmtId="0" fontId="17" fillId="3" borderId="0" xfId="0" applyFont="1" applyFill="1"/>
    <xf numFmtId="0" fontId="1" fillId="0" borderId="0" xfId="0" applyFont="1" applyAlignment="1">
      <alignment wrapText="1"/>
    </xf>
    <xf numFmtId="169" fontId="0" fillId="0" borderId="0" xfId="0" applyNumberFormat="1"/>
    <xf numFmtId="169" fontId="1" fillId="0" borderId="0" xfId="0" applyNumberFormat="1" applyFont="1" applyAlignment="1">
      <alignment vertical="center"/>
    </xf>
    <xf numFmtId="169" fontId="3" fillId="5" borderId="0" xfId="0" applyNumberFormat="1" applyFont="1" applyFill="1"/>
    <xf numFmtId="172" fontId="12" fillId="0" borderId="5" xfId="0" applyNumberFormat="1" applyFont="1" applyBorder="1"/>
    <xf numFmtId="169" fontId="1" fillId="0" borderId="0" xfId="0" applyNumberFormat="1" applyFont="1"/>
    <xf numFmtId="169" fontId="15" fillId="7" borderId="0" xfId="0" applyNumberFormat="1" applyFont="1" applyFill="1"/>
  </cellXfs>
  <cellStyles count="1">
    <cellStyle name="Normal" xfId="0" builtinId="0"/>
  </cellStyles>
  <dxfs count="37">
    <dxf>
      <numFmt numFmtId="169" formatCode="\$#,##0.00;\(\$#,##0.00\);\-"/>
    </dxf>
    <dxf>
      <numFmt numFmtId="169" formatCode="\$#,##0.00;\(\$#,##0.00\);\-"/>
    </dxf>
    <dxf>
      <numFmt numFmtId="169" formatCode="\$#,##0.00;\(\$#,##0.00\);\-"/>
    </dxf>
    <dxf>
      <font>
        <name val="Aptos"/>
      </font>
      <numFmt numFmtId="169" formatCode="\$#,##0.00;\(\$#,##0.00\);\-"/>
      <alignment vertical="center"/>
    </dxf>
    <dxf>
      <font>
        <name val="Aptos"/>
      </font>
      <numFmt numFmtId="169" formatCode="\$#,##0.00;\(\$#,##0.00\);\-"/>
      <alignment vertical="center"/>
    </dxf>
    <dxf>
      <font>
        <name val="Aptos"/>
      </font>
      <numFmt numFmtId="169" formatCode="\$#,##0.00;\(\$#,##0.00\);\-"/>
      <alignment vertical="center"/>
    </dxf>
    <dxf>
      <font>
        <name val="Aptos"/>
      </font>
      <numFmt numFmtId="169" formatCode="\$#,##0.00;\(\$#,##0.00\);\-"/>
      <alignment vertical="center"/>
    </dxf>
    <dxf>
      <font>
        <color rgb="FF065F46"/>
      </font>
      <fill>
        <patternFill patternType="solid">
          <fgColor indexed="64"/>
          <bgColor rgb="FFD1FAE5"/>
        </patternFill>
      </fill>
    </dxf>
    <dxf>
      <font>
        <color rgb="FF991B1B"/>
      </font>
      <fill>
        <patternFill patternType="solid">
          <fgColor indexed="64"/>
          <bgColor rgb="FFFECACA"/>
        </patternFill>
      </fill>
    </dxf>
    <dxf>
      <font>
        <color rgb="FF991B1B"/>
      </font>
      <fill>
        <patternFill patternType="solid">
          <fgColor indexed="64"/>
          <bgColor rgb="FFFECACA"/>
        </patternFill>
      </fill>
    </dxf>
    <dxf>
      <font>
        <color rgb="FF065F46"/>
      </font>
      <fill>
        <patternFill patternType="solid">
          <fgColor indexed="64"/>
          <bgColor rgb="FFD1FAE5"/>
        </patternFill>
      </fill>
    </dxf>
    <dxf>
      <font>
        <color rgb="FF065F46"/>
      </font>
      <fill>
        <patternFill patternType="solid">
          <fgColor indexed="64"/>
          <bgColor rgb="FFD1FAE5"/>
        </patternFill>
      </fill>
    </dxf>
    <dxf>
      <font>
        <color rgb="FF92400E"/>
      </font>
      <fill>
        <patternFill patternType="solid">
          <fgColor indexed="64"/>
          <bgColor rgb="FFFEF3C7"/>
        </patternFill>
      </fill>
    </dxf>
    <dxf>
      <font>
        <color rgb="FF991B1B"/>
      </font>
      <fill>
        <patternFill patternType="solid">
          <fgColor indexed="64"/>
          <bgColor rgb="FFFECACA"/>
        </patternFill>
      </fill>
    </dxf>
    <dxf>
      <font>
        <color rgb="FF991B1B"/>
      </font>
      <fill>
        <patternFill patternType="solid">
          <fgColor indexed="64"/>
          <bgColor rgb="FFFECACA"/>
        </patternFill>
      </fill>
    </dxf>
    <dxf>
      <fill>
        <patternFill patternType="solid">
          <fgColor indexed="64"/>
          <bgColor rgb="FFFFF7ED"/>
        </patternFill>
      </fill>
    </dxf>
    <dxf>
      <font>
        <color rgb="FF991B1B"/>
      </font>
      <fill>
        <patternFill patternType="solid">
          <fgColor indexed="64"/>
          <bgColor rgb="FFFECACA"/>
        </patternFill>
      </fill>
    </dxf>
    <dxf>
      <font>
        <color rgb="FF92400E"/>
      </font>
      <fill>
        <patternFill patternType="solid">
          <fgColor indexed="64"/>
          <bgColor rgb="FFFEF3C7"/>
        </patternFill>
      </fill>
    </dxf>
    <dxf>
      <font>
        <color rgb="FF065F46"/>
      </font>
      <fill>
        <patternFill patternType="solid">
          <fgColor indexed="64"/>
          <bgColor rgb="FFD1FAE5"/>
        </patternFill>
      </fill>
    </dxf>
    <dxf>
      <numFmt numFmtId="167" formatCode="mmm\ yyyy"/>
    </dxf>
    <dxf>
      <font>
        <color rgb="FF991B1B"/>
      </font>
      <fill>
        <patternFill patternType="solid">
          <fgColor indexed="64"/>
          <bgColor rgb="FFFECACA"/>
        </patternFill>
      </fill>
    </dxf>
    <dxf>
      <fill>
        <patternFill patternType="solid">
          <fgColor indexed="64"/>
          <bgColor rgb="FFFFF7ED"/>
        </patternFill>
      </fill>
    </dxf>
    <dxf>
      <font>
        <color rgb="FF991B1B"/>
      </font>
      <fill>
        <patternFill patternType="solid">
          <fgColor indexed="64"/>
          <bgColor rgb="FFFECACA"/>
        </patternFill>
      </fill>
    </dxf>
    <dxf>
      <font>
        <color rgb="FF92400E"/>
      </font>
      <fill>
        <patternFill patternType="solid">
          <fgColor indexed="64"/>
          <bgColor rgb="FFFEF3C7"/>
        </patternFill>
      </fill>
    </dxf>
    <dxf>
      <font>
        <color rgb="FF065F46"/>
      </font>
      <fill>
        <patternFill patternType="solid">
          <fgColor indexed="64"/>
          <bgColor rgb="FFD1FAE5"/>
        </patternFill>
      </fill>
    </dxf>
    <dxf>
      <font>
        <name val="Aptos"/>
      </font>
      <numFmt numFmtId="30" formatCode="@"/>
      <alignment vertical="center"/>
    </dxf>
    <dxf>
      <font>
        <b/>
        <color rgb="FFF8FAFC"/>
        <name val="Aptos"/>
      </font>
      <numFmt numFmtId="30" formatCode="@"/>
      <fill>
        <patternFill patternType="solid">
          <fgColor indexed="64"/>
          <bgColor rgb="FF17365D"/>
        </patternFill>
      </fill>
      <alignment vertical="center"/>
    </dxf>
    <dxf>
      <font>
        <name val="Aptos"/>
      </font>
      <numFmt numFmtId="30" formatCode="@"/>
      <alignment vertical="center"/>
    </dxf>
    <dxf>
      <font>
        <name val="Aptos"/>
      </font>
      <numFmt numFmtId="30" formatCode="@"/>
      <alignment vertical="center"/>
    </dxf>
    <dxf>
      <font>
        <name val="Aptos"/>
      </font>
      <numFmt numFmtId="166" formatCode="0.0%;\(0.0%\);\-"/>
      <alignment vertical="center"/>
    </dxf>
    <dxf>
      <font>
        <name val="Aptos"/>
      </font>
      <numFmt numFmtId="30" formatCode="@"/>
      <alignment vertical="center"/>
    </dxf>
    <dxf>
      <font>
        <name val="Aptos"/>
      </font>
      <numFmt numFmtId="30" formatCode="@"/>
      <alignment vertical="center"/>
    </dxf>
    <dxf>
      <font>
        <name val="Aptos"/>
      </font>
      <numFmt numFmtId="30" formatCode="@"/>
      <alignment vertical="center"/>
    </dxf>
    <dxf>
      <font>
        <name val="Aptos"/>
      </font>
      <numFmt numFmtId="30" formatCode="@"/>
      <alignment vertical="center"/>
    </dxf>
    <dxf>
      <font>
        <name val="Aptos"/>
      </font>
      <numFmt numFmtId="30" formatCode="@"/>
      <alignment vertical="center"/>
    </dxf>
    <dxf>
      <font>
        <name val="Aptos"/>
      </font>
      <numFmt numFmtId="164" formatCode="mmm\ d\,\ yyyy"/>
      <alignment vertical="center"/>
    </dxf>
    <dxf>
      <font>
        <name val="Aptos"/>
      </font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F8FAF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Revenue vs Operating Expenses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F8FAF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>
              <a:srgbClr val="2DD4BF"/>
            </a:solidFill>
            <a:ln>
              <a:noFill/>
            </a:ln>
            <a:effectLst/>
          </c:spPr>
          <c:invertIfNegative val="0"/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Summary'!$C$2:$C$13</c:f>
              <c:numCache>
                <c:formatCode>\$#,##0.00;\(\$#,##0.00\);\-</c:formatCode>
                <c:ptCount val="12"/>
                <c:pt idx="0">
                  <c:v>2439.8000000000002</c:v>
                </c:pt>
                <c:pt idx="1">
                  <c:v>1773.07</c:v>
                </c:pt>
                <c:pt idx="2">
                  <c:v>2162.86</c:v>
                </c:pt>
                <c:pt idx="3">
                  <c:v>1588.42</c:v>
                </c:pt>
                <c:pt idx="4">
                  <c:v>2678.0600000000004</c:v>
                </c:pt>
                <c:pt idx="5">
                  <c:v>2908.1</c:v>
                </c:pt>
                <c:pt idx="6">
                  <c:v>2963.74</c:v>
                </c:pt>
                <c:pt idx="7">
                  <c:v>2822.1400000000003</c:v>
                </c:pt>
                <c:pt idx="8">
                  <c:v>2116.0699999999997</c:v>
                </c:pt>
                <c:pt idx="9">
                  <c:v>1897.31</c:v>
                </c:pt>
                <c:pt idx="10">
                  <c:v>2619.3599999999997</c:v>
                </c:pt>
                <c:pt idx="11">
                  <c:v>2248.2599999999998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6E-4778-BC7D-4590457E6AC9}"/>
            </c:ext>
          </c:extLst>
        </c:ser>
        <c:ser>
          <c:idx val="1"/>
          <c:order val="1"/>
          <c:tx>
            <c:v>Operating Expenses</c:v>
          </c:tx>
          <c:spPr>
            <a:solidFill>
              <a:srgbClr val="60A5FA"/>
            </a:solidFill>
            <a:ln>
              <a:noFill/>
            </a:ln>
            <a:effectLst/>
          </c:spPr>
          <c:invertIfNegative val="0"/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Summary'!$D$2:$D$13</c:f>
              <c:numCache>
                <c:formatCode>\$#,##0.00;\(\$#,##0.00\);\-</c:formatCode>
                <c:ptCount val="12"/>
                <c:pt idx="0">
                  <c:v>2536.2600000000002</c:v>
                </c:pt>
                <c:pt idx="1">
                  <c:v>2504.3200000000002</c:v>
                </c:pt>
                <c:pt idx="2">
                  <c:v>2204.88</c:v>
                </c:pt>
                <c:pt idx="3">
                  <c:v>2730.22</c:v>
                </c:pt>
                <c:pt idx="4">
                  <c:v>2445.87</c:v>
                </c:pt>
                <c:pt idx="5">
                  <c:v>2918.3199999999997</c:v>
                </c:pt>
                <c:pt idx="6">
                  <c:v>2281.65</c:v>
                </c:pt>
                <c:pt idx="7">
                  <c:v>2538.48</c:v>
                </c:pt>
                <c:pt idx="8">
                  <c:v>2348.75</c:v>
                </c:pt>
                <c:pt idx="9">
                  <c:v>2499.42</c:v>
                </c:pt>
                <c:pt idx="10">
                  <c:v>2393.96</c:v>
                </c:pt>
                <c:pt idx="11">
                  <c:v>2450.89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6E-4778-BC7D-4590457E6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023664"/>
        <c:axId val="81134288"/>
      </c:barChart>
      <c:catAx>
        <c:axId val="23102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34288"/>
        <c:crosses val="autoZero"/>
        <c:auto val="1"/>
        <c:lblAlgn val="ctr"/>
        <c:lblOffset val="100"/>
        <c:noMultiLvlLbl val="0"/>
      </c:catAx>
      <c:valAx>
        <c:axId val="8113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29384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\$#,##0.00;\(\$#,##0.00\);\-" sourceLinked="1"/>
        <c:majorTickMark val="none"/>
        <c:minorTickMark val="none"/>
        <c:tickLblPos val="nextTo"/>
        <c:spPr>
          <a:noFill/>
          <a:ln w="12700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023664"/>
        <c:crosses val="autoZero"/>
        <c:crossBetween val="between"/>
      </c:valAx>
      <c:spPr>
        <a:solidFill>
          <a:srgbClr val="111C2E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CBD5E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111C2E"/>
    </a:solidFill>
    <a:ln w="9525" cap="flat" cmpd="sng" algn="ctr">
      <a:solidFill>
        <a:srgbClr val="29384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F8FAF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Cash Flow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F8FAF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Cash Inflows</c:v>
          </c:tx>
          <c:spPr>
            <a:ln w="28575" cap="rnd" cmpd="sng" algn="ctr">
              <a:solidFill>
                <a:srgbClr val="2DD4BF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Summary'!$K$2:$K$13</c:f>
              <c:numCache>
                <c:formatCode>\$#,##0.00;\(\$#,##0.00\);\-</c:formatCode>
                <c:ptCount val="12"/>
                <c:pt idx="0">
                  <c:v>2634.98</c:v>
                </c:pt>
                <c:pt idx="1">
                  <c:v>1523.54</c:v>
                </c:pt>
                <c:pt idx="2">
                  <c:v>2335.88</c:v>
                </c:pt>
                <c:pt idx="3">
                  <c:v>1226.79</c:v>
                </c:pt>
                <c:pt idx="4">
                  <c:v>2892.2999999999997</c:v>
                </c:pt>
                <c:pt idx="5">
                  <c:v>2577.6600000000003</c:v>
                </c:pt>
                <c:pt idx="6">
                  <c:v>2167.5700000000002</c:v>
                </c:pt>
                <c:pt idx="7">
                  <c:v>2435.19</c:v>
                </c:pt>
                <c:pt idx="8">
                  <c:v>1671.2200000000003</c:v>
                </c:pt>
                <c:pt idx="9">
                  <c:v>1782.99</c:v>
                </c:pt>
                <c:pt idx="10">
                  <c:v>1478.8200000000002</c:v>
                </c:pt>
                <c:pt idx="11">
                  <c:v>2428.1099999999997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2F-45DB-AC60-C713F48FF836}"/>
            </c:ext>
          </c:extLst>
        </c:ser>
        <c:ser>
          <c:idx val="1"/>
          <c:order val="1"/>
          <c:tx>
            <c:v>Cash Outflows</c:v>
          </c:tx>
          <c:spPr>
            <a:ln w="28575" cap="rnd" cmpd="sng" algn="ctr">
              <a:solidFill>
                <a:srgbClr val="FB7185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Summary'!$L$2:$L$13</c:f>
              <c:numCache>
                <c:formatCode>\$#,##0.00;\(\$#,##0.00\);\-</c:formatCode>
                <c:ptCount val="12"/>
                <c:pt idx="0">
                  <c:v>2476.2400000000002</c:v>
                </c:pt>
                <c:pt idx="1">
                  <c:v>1040.78</c:v>
                </c:pt>
                <c:pt idx="2">
                  <c:v>1964.4699999999998</c:v>
                </c:pt>
                <c:pt idx="3">
                  <c:v>2622.74</c:v>
                </c:pt>
                <c:pt idx="4">
                  <c:v>1785.57</c:v>
                </c:pt>
                <c:pt idx="5">
                  <c:v>1820.35</c:v>
                </c:pt>
                <c:pt idx="6">
                  <c:v>665.49</c:v>
                </c:pt>
                <c:pt idx="7">
                  <c:v>2232.6</c:v>
                </c:pt>
                <c:pt idx="8">
                  <c:v>1756.77</c:v>
                </c:pt>
                <c:pt idx="9">
                  <c:v>544.23</c:v>
                </c:pt>
                <c:pt idx="10">
                  <c:v>1981.3899999999999</c:v>
                </c:pt>
                <c:pt idx="11">
                  <c:v>2019.4199999999998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2F-45DB-AC60-C713F48FF836}"/>
            </c:ext>
          </c:extLst>
        </c:ser>
        <c:ser>
          <c:idx val="2"/>
          <c:order val="2"/>
          <c:tx>
            <c:v>Net Cash Flow</c:v>
          </c:tx>
          <c:spPr>
            <a:ln w="28575" cap="rnd" cmpd="sng" algn="ctr">
              <a:solidFill>
                <a:srgbClr val="60A5FA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Summary'!$M$2:$M$13</c:f>
              <c:numCache>
                <c:formatCode>\$#,##0.00;\(\$#,##0.00\);\-</c:formatCode>
                <c:ptCount val="12"/>
                <c:pt idx="0">
                  <c:v>158.73999999999978</c:v>
                </c:pt>
                <c:pt idx="1">
                  <c:v>482.76</c:v>
                </c:pt>
                <c:pt idx="2">
                  <c:v>371.41000000000031</c:v>
                </c:pt>
                <c:pt idx="3">
                  <c:v>-1395.9499999999998</c:v>
                </c:pt>
                <c:pt idx="4">
                  <c:v>1106.7299999999998</c:v>
                </c:pt>
                <c:pt idx="5">
                  <c:v>757.3100000000004</c:v>
                </c:pt>
                <c:pt idx="6">
                  <c:v>1502.0800000000002</c:v>
                </c:pt>
                <c:pt idx="7">
                  <c:v>202.59000000000015</c:v>
                </c:pt>
                <c:pt idx="8">
                  <c:v>-85.549999999999727</c:v>
                </c:pt>
                <c:pt idx="9">
                  <c:v>1238.76</c:v>
                </c:pt>
                <c:pt idx="10">
                  <c:v>-502.56999999999971</c:v>
                </c:pt>
                <c:pt idx="11">
                  <c:v>408.68999999999983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2F-45DB-AC60-C713F48FF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045472"/>
        <c:axId val="81068528"/>
      </c:lineChart>
      <c:catAx>
        <c:axId val="23104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68528"/>
        <c:crosses val="autoZero"/>
        <c:auto val="1"/>
        <c:lblAlgn val="ctr"/>
        <c:lblOffset val="100"/>
        <c:noMultiLvlLbl val="0"/>
      </c:catAx>
      <c:valAx>
        <c:axId val="8106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29384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\$#,##0.00;\(\$#,##0.00\);\-" sourceLinked="1"/>
        <c:majorTickMark val="none"/>
        <c:minorTickMark val="none"/>
        <c:tickLblPos val="nextTo"/>
        <c:spPr>
          <a:noFill/>
          <a:ln w="12700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045472"/>
        <c:crosses val="autoZero"/>
        <c:crossBetween val="between"/>
      </c:valAx>
      <c:spPr>
        <a:solidFill>
          <a:srgbClr val="111C2E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CBD5E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111C2E"/>
    </a:solidFill>
    <a:ln w="9525" cap="flat" cmpd="sng" algn="ctr">
      <a:solidFill>
        <a:srgbClr val="29384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F8FAF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F8FAF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v>Expense Amount</c:v>
          </c:tx>
          <c:dPt>
            <c:idx val="0"/>
            <c:bubble3D val="0"/>
            <c:spPr>
              <a:solidFill>
                <a:srgbClr val="2DD4B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16-4CAA-8937-FF8707AD969F}"/>
              </c:ext>
            </c:extLst>
          </c:dPt>
          <c:dPt>
            <c:idx val="1"/>
            <c:bubble3D val="0"/>
            <c:spPr>
              <a:solidFill>
                <a:srgbClr val="60A5F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C16-4CAA-8937-FF8707AD969F}"/>
              </c:ext>
            </c:extLst>
          </c:dPt>
          <c:dPt>
            <c:idx val="2"/>
            <c:bubble3D val="0"/>
            <c:spPr>
              <a:solidFill>
                <a:srgbClr val="34D3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16-4CAA-8937-FF8707AD969F}"/>
              </c:ext>
            </c:extLst>
          </c:dPt>
          <c:dPt>
            <c:idx val="3"/>
            <c:bubble3D val="0"/>
            <c:spPr>
              <a:solidFill>
                <a:srgbClr val="FBBF2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C16-4CAA-8937-FF8707AD969F}"/>
              </c:ext>
            </c:extLst>
          </c:dPt>
          <c:dPt>
            <c:idx val="4"/>
            <c:bubble3D val="0"/>
            <c:spPr>
              <a:solidFill>
                <a:srgbClr val="FB718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16-4CAA-8937-FF8707AD969F}"/>
              </c:ext>
            </c:extLst>
          </c:dPt>
          <c:dPt>
            <c:idx val="5"/>
            <c:bubble3D val="0"/>
            <c:spPr>
              <a:solidFill>
                <a:srgbClr val="A78BF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C16-4CAA-8937-FF8707AD969F}"/>
              </c:ext>
            </c:extLst>
          </c:dPt>
          <c:dPt>
            <c:idx val="6"/>
            <c:bubble3D val="0"/>
            <c:spPr>
              <a:solidFill>
                <a:srgbClr val="F472B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C16-4CAA-8937-FF8707AD969F}"/>
              </c:ext>
            </c:extLst>
          </c:dPt>
          <c:dPt>
            <c:idx val="7"/>
            <c:bubble3D val="0"/>
            <c:spPr>
              <a:solidFill>
                <a:srgbClr val="22D3E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C16-4CAA-8937-FF8707AD969F}"/>
              </c:ext>
            </c:extLst>
          </c:dPt>
          <c:cat>
            <c:strRef>
              <c:f>'Monthly Summary'!$T$2:$T$9</c:f>
              <c:strCache>
                <c:ptCount val="8"/>
                <c:pt idx="0">
                  <c:v>Rent</c:v>
                </c:pt>
                <c:pt idx="1">
                  <c:v>Marketing</c:v>
                </c:pt>
                <c:pt idx="2">
                  <c:v>Insurance</c:v>
                </c:pt>
                <c:pt idx="3">
                  <c:v>Utilities</c:v>
                </c:pt>
                <c:pt idx="4">
                  <c:v>Shipping</c:v>
                </c:pt>
                <c:pt idx="5">
                  <c:v>Software</c:v>
                </c:pt>
                <c:pt idx="6">
                  <c:v>Office Supplies</c:v>
                </c:pt>
                <c:pt idx="7">
                  <c:v>Phone &amp; Internet</c:v>
                </c:pt>
              </c:strCache>
            </c:strRef>
          </c:cat>
          <c:val>
            <c:numRef>
              <c:f>'Monthly Summary'!$U$2:$U$9</c:f>
              <c:numCache>
                <c:formatCode>\$#,##0.00;\(\$#,##0.00\);\-</c:formatCode>
                <c:ptCount val="8"/>
                <c:pt idx="0">
                  <c:v>14400</c:v>
                </c:pt>
                <c:pt idx="1">
                  <c:v>5049.8999999999996</c:v>
                </c:pt>
                <c:pt idx="2">
                  <c:v>2160</c:v>
                </c:pt>
                <c:pt idx="3">
                  <c:v>2151.85</c:v>
                </c:pt>
                <c:pt idx="4">
                  <c:v>1739.6700000000003</c:v>
                </c:pt>
                <c:pt idx="5">
                  <c:v>1606.67</c:v>
                </c:pt>
                <c:pt idx="6">
                  <c:v>1497.3000000000002</c:v>
                </c:pt>
                <c:pt idx="7">
                  <c:v>1247.6299999999999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16-4CAA-8937-FF8707AD9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solidFill>
          <a:srgbClr val="111C2E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CBD5E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111C2E"/>
    </a:solidFill>
    <a:ln w="9525" cap="flat" cmpd="sng" algn="ctr">
      <a:solidFill>
        <a:srgbClr val="29384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F8FAF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Budget vs Actual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F8FAF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Revenue Budget</c:v>
          </c:tx>
          <c:spPr>
            <a:solidFill>
              <a:srgbClr val="475569"/>
            </a:solidFill>
            <a:ln>
              <a:noFill/>
            </a:ln>
            <a:effectLst/>
          </c:spPr>
          <c:invertIfNegative val="0"/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Summary'!$Y$2:$Y$13</c:f>
              <c:numCache>
                <c:formatCode>\$#,##0.00;\(\$#,##0.00\);\-</c:formatCode>
                <c:ptCount val="12"/>
                <c:pt idx="0">
                  <c:v>5500</c:v>
                </c:pt>
                <c:pt idx="1">
                  <c:v>5625</c:v>
                </c:pt>
                <c:pt idx="2">
                  <c:v>5750</c:v>
                </c:pt>
                <c:pt idx="3">
                  <c:v>5875</c:v>
                </c:pt>
                <c:pt idx="4">
                  <c:v>6000</c:v>
                </c:pt>
                <c:pt idx="5">
                  <c:v>6125</c:v>
                </c:pt>
                <c:pt idx="6">
                  <c:v>6250</c:v>
                </c:pt>
                <c:pt idx="7">
                  <c:v>6375</c:v>
                </c:pt>
                <c:pt idx="8">
                  <c:v>6500</c:v>
                </c:pt>
                <c:pt idx="9">
                  <c:v>6625</c:v>
                </c:pt>
                <c:pt idx="10">
                  <c:v>6750</c:v>
                </c:pt>
                <c:pt idx="11">
                  <c:v>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7B-4FA9-9DA8-FCC5F49AFBAE}"/>
            </c:ext>
          </c:extLst>
        </c:ser>
        <c:ser>
          <c:idx val="1"/>
          <c:order val="1"/>
          <c:tx>
            <c:v>Actual Revenue</c:v>
          </c:tx>
          <c:spPr>
            <a:solidFill>
              <a:srgbClr val="2DD4BF"/>
            </a:solidFill>
            <a:ln>
              <a:noFill/>
            </a:ln>
            <a:effectLst/>
          </c:spPr>
          <c:invertIfNegative val="0"/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Summary'!$Z$2:$Z$13</c:f>
              <c:numCache>
                <c:formatCode>\$#,##0.00;\(\$#,##0.00\);\-</c:formatCode>
                <c:ptCount val="12"/>
                <c:pt idx="0">
                  <c:v>2439.8000000000002</c:v>
                </c:pt>
                <c:pt idx="1">
                  <c:v>1773.07</c:v>
                </c:pt>
                <c:pt idx="2">
                  <c:v>2162.86</c:v>
                </c:pt>
                <c:pt idx="3">
                  <c:v>1588.42</c:v>
                </c:pt>
                <c:pt idx="4">
                  <c:v>2678.0600000000004</c:v>
                </c:pt>
                <c:pt idx="5">
                  <c:v>2908.1</c:v>
                </c:pt>
                <c:pt idx="6">
                  <c:v>2963.74</c:v>
                </c:pt>
                <c:pt idx="7">
                  <c:v>2822.1400000000003</c:v>
                </c:pt>
                <c:pt idx="8">
                  <c:v>2116.0699999999997</c:v>
                </c:pt>
                <c:pt idx="9">
                  <c:v>1897.31</c:v>
                </c:pt>
                <c:pt idx="10">
                  <c:v>2619.3599999999997</c:v>
                </c:pt>
                <c:pt idx="11">
                  <c:v>2248.2599999999998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7B-4FA9-9DA8-FCC5F49AF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087696"/>
        <c:axId val="81106448"/>
      </c:barChart>
      <c:catAx>
        <c:axId val="2310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06448"/>
        <c:crosses val="autoZero"/>
        <c:auto val="1"/>
        <c:lblAlgn val="ctr"/>
        <c:lblOffset val="100"/>
        <c:noMultiLvlLbl val="0"/>
      </c:catAx>
      <c:valAx>
        <c:axId val="8110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29384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\$#,##0.00;\(\$#,##0.00\);\-" sourceLinked="1"/>
        <c:majorTickMark val="none"/>
        <c:minorTickMark val="none"/>
        <c:tickLblPos val="nextTo"/>
        <c:spPr>
          <a:noFill/>
          <a:ln w="12700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087696"/>
        <c:crosses val="autoZero"/>
        <c:crossBetween val="between"/>
      </c:valAx>
      <c:spPr>
        <a:solidFill>
          <a:srgbClr val="111C2E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CBD5E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111C2E"/>
    </a:solidFill>
    <a:ln w="9525" cap="flat" cmpd="sng" algn="ctr">
      <a:solidFill>
        <a:srgbClr val="29384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F8FAF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 Category Ranking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F8FAF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Expense Amount</c:v>
          </c:tx>
          <c:spPr>
            <a:solidFill>
              <a:srgbClr val="2DD4BF"/>
            </a:solidFill>
            <a:ln>
              <a:noFill/>
            </a:ln>
            <a:effectLst/>
          </c:spPr>
          <c:invertIfNegative val="0"/>
          <c:dLbls>
            <c:numFmt formatCode="\$#,##0;\(\$#,##0\);\-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'Monthly Summary'!$T$2:$T$9</c:f>
              <c:strCache>
                <c:ptCount val="8"/>
                <c:pt idx="0">
                  <c:v>Rent</c:v>
                </c:pt>
                <c:pt idx="1">
                  <c:v>Marketing</c:v>
                </c:pt>
                <c:pt idx="2">
                  <c:v>Insurance</c:v>
                </c:pt>
                <c:pt idx="3">
                  <c:v>Utilities</c:v>
                </c:pt>
                <c:pt idx="4">
                  <c:v>Shipping</c:v>
                </c:pt>
                <c:pt idx="5">
                  <c:v>Software</c:v>
                </c:pt>
                <c:pt idx="6">
                  <c:v>Office Supplies</c:v>
                </c:pt>
                <c:pt idx="7">
                  <c:v>Phone &amp; Internet</c:v>
                </c:pt>
              </c:strCache>
            </c:strRef>
          </c:cat>
          <c:val>
            <c:numRef>
              <c:f>'Monthly Summary'!$U$2:$U$9</c:f>
              <c:numCache>
                <c:formatCode>\$#,##0.00;\(\$#,##0.00\);\-</c:formatCode>
                <c:ptCount val="8"/>
                <c:pt idx="0">
                  <c:v>14400</c:v>
                </c:pt>
                <c:pt idx="1">
                  <c:v>5049.8999999999996</c:v>
                </c:pt>
                <c:pt idx="2">
                  <c:v>2160</c:v>
                </c:pt>
                <c:pt idx="3">
                  <c:v>2151.85</c:v>
                </c:pt>
                <c:pt idx="4">
                  <c:v>1739.6700000000003</c:v>
                </c:pt>
                <c:pt idx="5">
                  <c:v>1606.67</c:v>
                </c:pt>
                <c:pt idx="6">
                  <c:v>1497.3000000000002</c:v>
                </c:pt>
                <c:pt idx="7">
                  <c:v>1247.6299999999999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7-4E23-AD46-F9636F562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31095584"/>
        <c:axId val="81144368"/>
      </c:barChart>
      <c:catAx>
        <c:axId val="231095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144368"/>
        <c:crosses val="autoZero"/>
        <c:auto val="1"/>
        <c:lblAlgn val="ctr"/>
        <c:lblOffset val="100"/>
        <c:noMultiLvlLbl val="0"/>
      </c:catAx>
      <c:valAx>
        <c:axId val="81144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29384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\$#,##0.00;\(\$#,##0.00\);\-" sourceLinked="1"/>
        <c:majorTickMark val="none"/>
        <c:minorTickMark val="none"/>
        <c:tickLblPos val="nextTo"/>
        <c:spPr>
          <a:noFill/>
          <a:ln w="12700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095584"/>
        <c:crosses val="autoZero"/>
        <c:crossBetween val="between"/>
      </c:valAx>
      <c:spPr>
        <a:solidFill>
          <a:srgbClr val="111C2E"/>
        </a:solidFill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111C2E"/>
    </a:solidFill>
    <a:ln w="9525" cap="flat" cmpd="sng" algn="ctr">
      <a:solidFill>
        <a:srgbClr val="29384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F8FAF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Operating Profit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F8FAF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Positive Profit</c:v>
          </c:tx>
          <c:spPr>
            <a:solidFill>
              <a:srgbClr val="34D399"/>
            </a:solidFill>
            <a:ln>
              <a:noFill/>
            </a:ln>
            <a:effectLst/>
          </c:spPr>
          <c:invertIfNegative val="0"/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Summary'!$W$2:$W$13</c:f>
              <c:numCache>
                <c:formatCode>\$#,##0.00;\(\$#,##0.00\);\-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232.19000000000051</c:v>
                </c:pt>
                <c:pt idx="5">
                  <c:v>0</c:v>
                </c:pt>
                <c:pt idx="6">
                  <c:v>682.08999999999969</c:v>
                </c:pt>
                <c:pt idx="7">
                  <c:v>283.66000000000031</c:v>
                </c:pt>
                <c:pt idx="8">
                  <c:v>0</c:v>
                </c:pt>
                <c:pt idx="9">
                  <c:v>0</c:v>
                </c:pt>
                <c:pt idx="10">
                  <c:v>225.39999999999964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D-4866-A4F4-83DF392F45A1}"/>
            </c:ext>
          </c:extLst>
        </c:ser>
        <c:ser>
          <c:idx val="1"/>
          <c:order val="1"/>
          <c:tx>
            <c:v>Negative Profit</c:v>
          </c:tx>
          <c:spPr>
            <a:solidFill>
              <a:srgbClr val="FB7185"/>
            </a:solidFill>
            <a:ln>
              <a:noFill/>
            </a:ln>
            <a:effectLst/>
          </c:spPr>
          <c:invertIfNegative val="0"/>
          <c:cat>
            <c:strRef>
              <c:f>'Monthly Summary'!$B$2:$B$13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Summary'!$X$2:$X$13</c:f>
              <c:numCache>
                <c:formatCode>\$#,##0.00;\(\$#,##0.00\);\-</c:formatCode>
                <c:ptCount val="12"/>
                <c:pt idx="0">
                  <c:v>-96.460000000000036</c:v>
                </c:pt>
                <c:pt idx="1">
                  <c:v>-731.25000000000023</c:v>
                </c:pt>
                <c:pt idx="2">
                  <c:v>-42.019999999999982</c:v>
                </c:pt>
                <c:pt idx="3">
                  <c:v>-1141.7999999999997</c:v>
                </c:pt>
                <c:pt idx="4">
                  <c:v>0</c:v>
                </c:pt>
                <c:pt idx="5">
                  <c:v>-10.2199999999998</c:v>
                </c:pt>
                <c:pt idx="6">
                  <c:v>0</c:v>
                </c:pt>
                <c:pt idx="7">
                  <c:v>0</c:v>
                </c:pt>
                <c:pt idx="8">
                  <c:v>-232.68000000000029</c:v>
                </c:pt>
                <c:pt idx="9">
                  <c:v>-602.11000000000013</c:v>
                </c:pt>
                <c:pt idx="10">
                  <c:v>0</c:v>
                </c:pt>
                <c:pt idx="11">
                  <c:v>-202.63000000000011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D-4866-A4F4-83DF392F4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154048"/>
        <c:axId val="81022448"/>
      </c:barChart>
      <c:catAx>
        <c:axId val="2311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22448"/>
        <c:crosses val="autoZero"/>
        <c:auto val="1"/>
        <c:lblAlgn val="ctr"/>
        <c:lblOffset val="100"/>
        <c:noMultiLvlLbl val="0"/>
      </c:catAx>
      <c:valAx>
        <c:axId val="81022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29384D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\$#,##0.00;\(\$#,##0.00\);\-" sourceLinked="1"/>
        <c:majorTickMark val="none"/>
        <c:minorTickMark val="none"/>
        <c:tickLblPos val="nextTo"/>
        <c:spPr>
          <a:noFill/>
          <a:ln w="12700" cap="flat" cmpd="sng" algn="ctr">
            <a:solidFill>
              <a:srgbClr val="29384D"/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CBD5E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1154048"/>
        <c:crosses val="autoZero"/>
        <c:crossBetween val="between"/>
      </c:valAx>
      <c:spPr>
        <a:solidFill>
          <a:srgbClr val="111C2E"/>
        </a:solidFill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111C2E"/>
    </a:solidFill>
    <a:ln w="9525" cap="flat" cmpd="sng" algn="ctr">
      <a:solidFill>
        <a:srgbClr val="29384D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2" name="Monthly Revenue vs Operating Expenses" descr="Clustered columns compare monthly USD revenue and operating expenses from January through December." title="Monthly revenue and operating expenses">
          <a:extLst>
            <a:ext uri="{FF2B5EF4-FFF2-40B4-BE49-F238E27FC236}">
              <a16:creationId xmlns:a16="http://schemas.microsoft.com/office/drawing/2014/main" id="{75330F7F-BEE3-FDB5-9137-DF6ACAA13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8</xdr:col>
      <xdr:colOff>0</xdr:colOff>
      <xdr:row>55</xdr:row>
      <xdr:rowOff>0</xdr:rowOff>
    </xdr:to>
    <xdr:graphicFrame macro="">
      <xdr:nvGraphicFramePr>
        <xdr:cNvPr id="4" name="Cash Flow Trend" descr="Line chart compares paid cash inflows, cash outflows, and net cash flow in USD by month." title="Cash flow trend">
          <a:extLst>
            <a:ext uri="{FF2B5EF4-FFF2-40B4-BE49-F238E27FC236}">
              <a16:creationId xmlns:a16="http://schemas.microsoft.com/office/drawing/2014/main" id="{D80A676B-BDC5-06E2-1791-F59B002D38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39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6" name="Expense Breakdown" descr="Doughnut chart shows the reporting-year share of operating expenses by category." title="Expense breakdown">
          <a:extLst>
            <a:ext uri="{FF2B5EF4-FFF2-40B4-BE49-F238E27FC236}">
              <a16:creationId xmlns:a16="http://schemas.microsoft.com/office/drawing/2014/main" id="{5ACA8BAE-D62A-4E9D-4C69-D4139A857A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56</xdr:row>
      <xdr:rowOff>0</xdr:rowOff>
    </xdr:from>
    <xdr:to>
      <xdr:col>8</xdr:col>
      <xdr:colOff>0</xdr:colOff>
      <xdr:row>72</xdr:row>
      <xdr:rowOff>0</xdr:rowOff>
    </xdr:to>
    <xdr:graphicFrame macro="">
      <xdr:nvGraphicFramePr>
        <xdr:cNvPr id="7" name="Budget vs Actual Revenue" descr="Clustered columns compare illustrative monthly revenue budget with actual USD revenue." title="Budget versus actual revenue">
          <a:extLst>
            <a:ext uri="{FF2B5EF4-FFF2-40B4-BE49-F238E27FC236}">
              <a16:creationId xmlns:a16="http://schemas.microsoft.com/office/drawing/2014/main" id="{2B9F7943-633B-5CFA-BAAD-721C89359D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56</xdr:row>
      <xdr:rowOff>0</xdr:rowOff>
    </xdr:from>
    <xdr:to>
      <xdr:col>16</xdr:col>
      <xdr:colOff>0</xdr:colOff>
      <xdr:row>72</xdr:row>
      <xdr:rowOff>0</xdr:rowOff>
    </xdr:to>
    <xdr:graphicFrame macro="">
      <xdr:nvGraphicFramePr>
        <xdr:cNvPr id="8" name="Expense Category Ranking" descr="Horizontal bars rank expense categories from highest to lowest USD expense amount." title="Expense category ranking">
          <a:extLst>
            <a:ext uri="{FF2B5EF4-FFF2-40B4-BE49-F238E27FC236}">
              <a16:creationId xmlns:a16="http://schemas.microsoft.com/office/drawing/2014/main" id="{3FD8EEF8-18B0-212A-9996-C224553487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22</xdr:row>
      <xdr:rowOff>0</xdr:rowOff>
    </xdr:from>
    <xdr:to>
      <xdr:col>16</xdr:col>
      <xdr:colOff>0</xdr:colOff>
      <xdr:row>38</xdr:row>
      <xdr:rowOff>0</xdr:rowOff>
    </xdr:to>
    <xdr:graphicFrame macro="">
      <xdr:nvGraphicFramePr>
        <xdr:cNvPr id="9" name="Monthly Operating Profit" descr="Columns show positive operating profit in green and negative operating profit in red by month." title="Monthly operating profit">
          <a:extLst>
            <a:ext uri="{FF2B5EF4-FFF2-40B4-BE49-F238E27FC236}">
              <a16:creationId xmlns:a16="http://schemas.microsoft.com/office/drawing/2014/main" id="{E72B957F-71F9-3226-2CF3-93FBFC17DF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71AED0-5389-4CEA-9A33-A6EB53CE4149}" name="tblTransactions" displayName="tblTransactions" ref="A1:N169" totalsRowShown="0" headerRowDxfId="26" dataDxfId="25">
  <autoFilter ref="A1:N169" xr:uid="{0171AED0-5389-4CEA-9A33-A6EB53CE4149}"/>
  <tableColumns count="14">
    <tableColumn id="1" xr3:uid="{6FDE8D9E-EF05-47D7-9165-F783CBF9FDCF}" name="Transaction ID" dataDxfId="36"/>
    <tableColumn id="2" xr3:uid="{08F581BD-8D92-4726-8429-9B6CED939F86}" name="Date" dataDxfId="35"/>
    <tableColumn id="3" xr3:uid="{FAF2C2EE-F891-4698-8E8B-AD8D16662F4F}" name="Transaction Type" dataDxfId="34"/>
    <tableColumn id="4" xr3:uid="{75E01C85-BEF3-4721-8395-437576A7207F}" name="Category" dataDxfId="33"/>
    <tableColumn id="5" xr3:uid="{425E80F8-472E-4CFB-9E71-41E24AA0DC7F}" name="Description" dataDxfId="32"/>
    <tableColumn id="6" xr3:uid="{24351736-7287-4E48-8B1C-F22EE5590E00}" name="Customer/Vendor" dataDxfId="31"/>
    <tableColumn id="7" xr3:uid="{0A918827-90F2-4EE6-B4FA-4349652DCDF6}" name="Payment Method" dataDxfId="30"/>
    <tableColumn id="8" xr3:uid="{BAB22636-4F60-45B0-B69D-3074FBA27678}" name="Amount" dataDxfId="6"/>
    <tableColumn id="9" xr3:uid="{32012328-1D04-4882-90DA-1C6772576276}" name="Tax Rate" dataDxfId="29"/>
    <tableColumn id="10" xr3:uid="{571C2C43-EA15-46EC-A6D2-B5105F55A2A0}" name="Tax Amount" dataDxfId="5"/>
    <tableColumn id="11" xr3:uid="{9E53B3D0-0205-41FA-834F-43E82C285EBA}" name="Total Amount" dataDxfId="4"/>
    <tableColumn id="12" xr3:uid="{3352697F-D885-4679-916F-C38567A4EE5A}" name="Payment Status" dataDxfId="28"/>
    <tableColumn id="13" xr3:uid="{694EAFD3-4A5B-4500-A86C-22A2E50D45BF}" name="Cash Impact" dataDxfId="3"/>
    <tableColumn id="14" xr3:uid="{E530B7A4-3671-4E4B-84CC-3C50FB9C9C1C}" name="Notes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ED28E5-E4E0-470C-A6DC-0B99F647DC79}" name="tblBudget" displayName="tblBudget" ref="M2:Q14" totalsRowShown="0">
  <autoFilter ref="M2:Q14" xr:uid="{15ED28E5-E4E0-470C-A6DC-0B99F647DC79}"/>
  <tableColumns count="5">
    <tableColumn id="1" xr3:uid="{30D469A1-F320-41CE-9314-2F06CBF9878A}" name="Month" dataDxfId="19"/>
    <tableColumn id="2" xr3:uid="{3409B482-C239-406C-9CC9-48F3D18FF808}" name="Revenue Budget" dataDxfId="2"/>
    <tableColumn id="3" xr3:uid="{15B01AF1-1970-4684-BBB9-602B14C2D80B}" name="Expense Budget" dataDxfId="1"/>
    <tableColumn id="4" xr3:uid="{0F7A7F77-B34D-4C30-ADBF-C663BAA5FD59}" name="Marketing Budget" dataDxfId="0"/>
    <tableColumn id="5" xr3:uid="{C5E07A9F-4D72-4683-9D38-5449BBC43E00}" name="Note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6A193-BE3C-4AC0-A7E0-0B4919744F1D}">
  <dimension ref="A1:R72"/>
  <sheetViews>
    <sheetView tabSelected="1" zoomScale="115" zoomScaleNormal="115" workbookViewId="0">
      <selection activeCell="I9" sqref="I9:L10"/>
    </sheetView>
  </sheetViews>
  <sheetFormatPr defaultRowHeight="14.4" x14ac:dyDescent="0.3"/>
  <cols>
    <col min="6" max="6" width="15.44140625" bestFit="1" customWidth="1"/>
    <col min="18" max="18" width="0" hidden="1" customWidth="1"/>
  </cols>
  <sheetData>
    <row r="1" spans="1:18" ht="31.2" x14ac:dyDescent="0.6">
      <c r="A1" s="17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8" x14ac:dyDescent="0.3">
      <c r="A2" s="18" t="s">
        <v>97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R2">
        <f>IF(J4="Full Year",0,MATCH(J4,{"Jan","Feb","Mar","Apr","May","Jun","Jul","Aug","Sep","Oct","Nov","Dec"},0))</f>
        <v>0</v>
      </c>
    </row>
    <row r="3" spans="1:18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8" x14ac:dyDescent="0.3">
      <c r="A4" s="20" t="s">
        <v>98</v>
      </c>
      <c r="B4" s="21" t="str">
        <f>Settings!B3</f>
        <v>Your Business Name</v>
      </c>
      <c r="C4" s="21"/>
      <c r="D4" s="21"/>
      <c r="E4" s="19"/>
      <c r="F4" s="20" t="s">
        <v>99</v>
      </c>
      <c r="G4" s="21">
        <f>Settings!B5</f>
        <v>2025</v>
      </c>
      <c r="H4" s="21"/>
      <c r="I4" s="20" t="s">
        <v>100</v>
      </c>
      <c r="J4" s="21" t="s">
        <v>101</v>
      </c>
      <c r="K4" s="21"/>
      <c r="L4" s="19"/>
      <c r="M4" s="20" t="s">
        <v>102</v>
      </c>
      <c r="N4" s="21" t="str">
        <f>Settings!B6&amp;" ("&amp;Settings!B8&amp;")"</f>
        <v>USD ($)</v>
      </c>
      <c r="O4" s="21"/>
      <c r="P4" s="21"/>
    </row>
    <row r="5" spans="1:18" x14ac:dyDescent="0.3">
      <c r="A5" s="20" t="s">
        <v>103</v>
      </c>
      <c r="B5" s="22" t="s">
        <v>104</v>
      </c>
      <c r="C5" s="22"/>
      <c r="D5" s="22"/>
      <c r="E5" s="19"/>
      <c r="F5" s="20" t="s">
        <v>105</v>
      </c>
      <c r="G5" s="22" t="s">
        <v>104</v>
      </c>
      <c r="H5" s="22"/>
      <c r="I5" s="20" t="s">
        <v>106</v>
      </c>
      <c r="J5" s="22" t="s">
        <v>104</v>
      </c>
      <c r="K5" s="22"/>
      <c r="L5" s="19"/>
      <c r="M5" s="20" t="s">
        <v>107</v>
      </c>
      <c r="N5" s="22" t="s">
        <v>108</v>
      </c>
      <c r="O5" s="22"/>
      <c r="P5" s="22"/>
    </row>
    <row r="6" spans="1:18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8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8" x14ac:dyDescent="0.3">
      <c r="A8" s="25" t="s">
        <v>109</v>
      </c>
      <c r="B8" s="23"/>
      <c r="C8" s="23"/>
      <c r="D8" s="23"/>
      <c r="E8" s="25" t="s">
        <v>111</v>
      </c>
      <c r="F8" s="23"/>
      <c r="G8" s="23"/>
      <c r="H8" s="23"/>
      <c r="I8" s="25" t="s">
        <v>113</v>
      </c>
      <c r="J8" s="23"/>
      <c r="K8" s="23"/>
      <c r="L8" s="23"/>
      <c r="M8" s="25" t="s">
        <v>115</v>
      </c>
      <c r="N8" s="23"/>
      <c r="O8" s="23"/>
      <c r="P8" s="24"/>
    </row>
    <row r="9" spans="1:18" x14ac:dyDescent="0.3">
      <c r="A9" s="44" cm="1">
        <f t="array" ref="A9">SUMPRODUCT((YEAR(tblTransactions[Date])=$G$4)*(IF($R$2=0,1,MONTH(tblTransactions[Date])=$R$2))*(IF($B$5="All",1,tblTransactions[Category]=$B$5))*(IF($G$5="All",1,tblTransactions[Transaction Type]=$G$5))*(IF($J$5="All",1,tblTransactions[Payment Status]=$J$5))*(tblTransactions[Transaction Type]="Income")*tblTransactions[Amount])</f>
        <v>28217.19</v>
      </c>
      <c r="B9" s="9"/>
      <c r="C9" s="9"/>
      <c r="D9" s="33"/>
      <c r="E9" s="44" cm="1">
        <f t="array" ref="E9">SUMPRODUCT((YEAR(tblTransactions[Date])=$G$4)*(IF($R$2=0,1,MONTH(tblTransactions[Date])=$R$2))*(IF($B$5="All",1,tblTransactions[Category]=$B$5))*(IF($G$5="All",1,tblTransactions[Transaction Type]=$G$5))*(IF($J$5="All",1,tblTransactions[Payment Status]=$J$5))*(tblTransactions[Transaction Type]="Expense")*tblTransactions[Amount])</f>
        <v>29853.019999999993</v>
      </c>
      <c r="F9" s="9"/>
      <c r="G9" s="9"/>
      <c r="H9" s="33"/>
      <c r="I9" s="44">
        <f>A9-E9</f>
        <v>-1635.8299999999945</v>
      </c>
      <c r="J9" s="9"/>
      <c r="K9" s="9"/>
      <c r="L9" s="33"/>
      <c r="M9" s="34">
        <f>IF(A9=0,"N/A",I9/A9)</f>
        <v>-5.7972817279112292E-2</v>
      </c>
      <c r="N9" s="9"/>
      <c r="O9" s="9"/>
      <c r="P9" s="27"/>
    </row>
    <row r="10" spans="1:18" x14ac:dyDescent="0.3">
      <c r="A10" s="26"/>
      <c r="B10" s="9"/>
      <c r="C10" s="9"/>
      <c r="D10" s="33"/>
      <c r="E10" s="26"/>
      <c r="F10" s="9"/>
      <c r="G10" s="9"/>
      <c r="H10" s="33"/>
      <c r="I10" s="26"/>
      <c r="J10" s="9"/>
      <c r="K10" s="9"/>
      <c r="L10" s="33"/>
      <c r="M10" s="26"/>
      <c r="N10" s="9"/>
      <c r="O10" s="9"/>
      <c r="P10" s="27"/>
    </row>
    <row r="11" spans="1:18" x14ac:dyDescent="0.3">
      <c r="A11" s="28" t="s">
        <v>110</v>
      </c>
      <c r="B11" s="9"/>
      <c r="C11" s="9"/>
      <c r="D11" s="33"/>
      <c r="E11" s="28" t="s">
        <v>112</v>
      </c>
      <c r="F11" s="9"/>
      <c r="G11" s="9"/>
      <c r="H11" s="33"/>
      <c r="I11" s="28" t="s">
        <v>114</v>
      </c>
      <c r="J11" s="9"/>
      <c r="K11" s="9"/>
      <c r="L11" s="33"/>
      <c r="M11" s="28" t="s">
        <v>116</v>
      </c>
      <c r="N11" s="9"/>
      <c r="O11" s="9"/>
      <c r="P11" s="27"/>
    </row>
    <row r="12" spans="1:18" x14ac:dyDescent="0.3">
      <c r="A12" s="32" t="str">
        <f>IF(J4="Full Year","Budget: $"&amp;TEXT(SUM(tblBudget[Revenue Budget]),"#,##0"),"Budget: $"&amp;TEXT(SUMIFS(tblBudget[Revenue Budget],tblBudget[Month],DATE(G4,R2,1)),"#,##0"))</f>
        <v>Budget: $74,250</v>
      </c>
      <c r="B12" s="9"/>
      <c r="C12" s="9"/>
      <c r="D12" s="33"/>
      <c r="E12" s="32" t="str">
        <f>IF(J4="Full Year","Budget: $"&amp;TEXT(SUM(tblBudget[Expense Budget]),"#,##0"),"Budget: $"&amp;TEXT(SUMIFS(tblBudget[Expense Budget],tblBudget[Month],DATE(G4,R2,1)),"#,##0"))</f>
        <v>Budget: $53,370</v>
      </c>
      <c r="F12" s="9"/>
      <c r="G12" s="9"/>
      <c r="H12" s="33"/>
      <c r="I12" s="32" t="str">
        <f>IF(I9&gt;=0,"Positive operating result","Operating loss - attention")</f>
        <v>Operating loss - attention</v>
      </c>
      <c r="J12" s="9"/>
      <c r="K12" s="9"/>
      <c r="L12" s="33"/>
      <c r="M12" s="32" t="str">
        <f>IF(A9=0,"No revenue in selection",IF(M9&gt;=Settings!B11,"At or above target","Below target margin"))</f>
        <v>Below target margin</v>
      </c>
      <c r="N12" s="9"/>
      <c r="O12" s="9"/>
      <c r="P12" s="27"/>
    </row>
    <row r="13" spans="1:18" x14ac:dyDescent="0.3">
      <c r="A13" s="29"/>
      <c r="B13" s="30"/>
      <c r="C13" s="30"/>
      <c r="D13" s="30"/>
      <c r="E13" s="29"/>
      <c r="F13" s="30"/>
      <c r="G13" s="30"/>
      <c r="H13" s="30"/>
      <c r="I13" s="29"/>
      <c r="J13" s="30"/>
      <c r="K13" s="30"/>
      <c r="L13" s="30"/>
      <c r="M13" s="29"/>
      <c r="N13" s="30"/>
      <c r="O13" s="30"/>
      <c r="P13" s="31"/>
    </row>
    <row r="14" spans="1:18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8" x14ac:dyDescent="0.3">
      <c r="A15" s="25" t="s">
        <v>117</v>
      </c>
      <c r="B15" s="23"/>
      <c r="C15" s="23"/>
      <c r="D15" s="23"/>
      <c r="E15" s="25" t="s">
        <v>119</v>
      </c>
      <c r="F15" s="23"/>
      <c r="G15" s="23"/>
      <c r="H15" s="23"/>
      <c r="I15" s="25" t="s">
        <v>121</v>
      </c>
      <c r="J15" s="23"/>
      <c r="K15" s="23"/>
      <c r="L15" s="23"/>
      <c r="M15" s="25" t="s">
        <v>123</v>
      </c>
      <c r="N15" s="23"/>
      <c r="O15" s="23"/>
      <c r="P15" s="24"/>
    </row>
    <row r="16" spans="1:18" x14ac:dyDescent="0.3">
      <c r="A16" s="44" cm="1">
        <f t="array" ref="A16">SUMPRODUCT((YEAR(tblTransactions[Date])=$G$4)*(IF($R$2=0,1,MONTH(tblTransactions[Date])=$R$2))*(IF($B$5="All",1,tblTransactions[Category]=$B$5))*(IF($G$5="All",1,tblTransactions[Transaction Type]=$G$5))*(IF($J$5="All",1,tblTransactions[Payment Status]=$J$5))*(tblTransactions[Transaction Type]="Income")*(tblTransactions[Payment Status]="Paid")*tblTransactions[Cash Impact])</f>
        <v>25155.050000000003</v>
      </c>
      <c r="B16" s="9"/>
      <c r="C16" s="9"/>
      <c r="D16" s="33"/>
      <c r="E16" s="44" cm="1">
        <f t="array" ref="E16">-SUMPRODUCT((YEAR(tblTransactions[Date])=$G$4)*(IF($R$2=0,1,MONTH(tblTransactions[Date])=$R$2))*(IF($B$5="All",1,tblTransactions[Category]=$B$5))*(IF($G$5="All",1,tblTransactions[Transaction Type]=$G$5))*(IF($J$5="All",1,tblTransactions[Payment Status]=$J$5))*(tblTransactions[Transaction Type]="Expense")*(tblTransactions[Payment Status]="Paid")*tblTransactions[Cash Impact])</f>
        <v>20910.05</v>
      </c>
      <c r="F16" s="9"/>
      <c r="G16" s="9"/>
      <c r="H16" s="33"/>
      <c r="I16" s="44">
        <f>A16-E16</f>
        <v>4245.0000000000036</v>
      </c>
      <c r="J16" s="9"/>
      <c r="K16" s="9"/>
      <c r="L16" s="33"/>
      <c r="M16" s="44" cm="1">
        <f t="array" ref="M16">IF($R$2=0,'Cash Flow'!J13,INDEX('Cash Flow'!J2:J13,$R$2))</f>
        <v>14245.000000000002</v>
      </c>
      <c r="N16" s="9"/>
      <c r="O16" s="9"/>
      <c r="P16" s="27"/>
    </row>
    <row r="17" spans="1:16" x14ac:dyDescent="0.3">
      <c r="A17" s="26"/>
      <c r="B17" s="9"/>
      <c r="C17" s="9"/>
      <c r="D17" s="33"/>
      <c r="E17" s="26"/>
      <c r="F17" s="9"/>
      <c r="G17" s="9"/>
      <c r="H17" s="33"/>
      <c r="I17" s="26"/>
      <c r="J17" s="9"/>
      <c r="K17" s="9"/>
      <c r="L17" s="33"/>
      <c r="M17" s="26"/>
      <c r="N17" s="9"/>
      <c r="O17" s="9"/>
      <c r="P17" s="27"/>
    </row>
    <row r="18" spans="1:16" x14ac:dyDescent="0.3">
      <c r="A18" s="28" t="s">
        <v>118</v>
      </c>
      <c r="B18" s="9"/>
      <c r="C18" s="9"/>
      <c r="D18" s="33"/>
      <c r="E18" s="28" t="s">
        <v>120</v>
      </c>
      <c r="F18" s="9"/>
      <c r="G18" s="9"/>
      <c r="H18" s="33"/>
      <c r="I18" s="28" t="s">
        <v>122</v>
      </c>
      <c r="J18" s="9"/>
      <c r="K18" s="9"/>
      <c r="L18" s="33"/>
      <c r="M18" s="28" t="s">
        <v>124</v>
      </c>
      <c r="N18" s="9"/>
      <c r="O18" s="9"/>
      <c r="P18" s="27"/>
    </row>
    <row r="19" spans="1:16" x14ac:dyDescent="0.3">
      <c r="A19" s="32" t="s">
        <v>125</v>
      </c>
      <c r="B19" s="9"/>
      <c r="C19" s="9"/>
      <c r="D19" s="33"/>
      <c r="E19" s="32" t="s">
        <v>126</v>
      </c>
      <c r="F19" s="9"/>
      <c r="G19" s="9"/>
      <c r="H19" s="33"/>
      <c r="I19" s="32" t="str">
        <f>IF(I16&gt;=0,"Positive cash movement","Negative cash movement")</f>
        <v>Positive cash movement</v>
      </c>
      <c r="J19" s="9"/>
      <c r="K19" s="9"/>
      <c r="L19" s="33"/>
      <c r="M19" s="32" t="str">
        <f>IF(Settings!B9="","Opening balance requires confirmation",IF(M16&lt;Settings!B12,"Below low-cash threshold","Above low-cash threshold"))</f>
        <v>Above low-cash threshold</v>
      </c>
      <c r="N19" s="9"/>
      <c r="O19" s="9"/>
      <c r="P19" s="27"/>
    </row>
    <row r="20" spans="1:16" x14ac:dyDescent="0.3">
      <c r="A20" s="29"/>
      <c r="B20" s="30"/>
      <c r="C20" s="30"/>
      <c r="D20" s="30"/>
      <c r="E20" s="29"/>
      <c r="F20" s="30"/>
      <c r="G20" s="30"/>
      <c r="H20" s="30"/>
      <c r="I20" s="29"/>
      <c r="J20" s="30"/>
      <c r="K20" s="30"/>
      <c r="L20" s="30"/>
      <c r="M20" s="29"/>
      <c r="N20" s="30"/>
      <c r="O20" s="30"/>
      <c r="P20" s="31"/>
    </row>
    <row r="21" spans="1:16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x14ac:dyDescent="0.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x14ac:dyDescent="0.3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x14ac:dyDescent="0.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x14ac:dyDescent="0.3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x14ac:dyDescent="0.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x14ac:dyDescent="0.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6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1:16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x14ac:dyDescent="0.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x14ac:dyDescent="0.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</row>
  </sheetData>
  <mergeCells count="42">
    <mergeCell ref="I15:L15"/>
    <mergeCell ref="I16:L17"/>
    <mergeCell ref="I18:L18"/>
    <mergeCell ref="I19:L20"/>
    <mergeCell ref="M15:P15"/>
    <mergeCell ref="M16:P17"/>
    <mergeCell ref="M18:P18"/>
    <mergeCell ref="M19:P20"/>
    <mergeCell ref="A15:D15"/>
    <mergeCell ref="A16:D17"/>
    <mergeCell ref="A18:D18"/>
    <mergeCell ref="A19:D20"/>
    <mergeCell ref="E15:H15"/>
    <mergeCell ref="E16:H17"/>
    <mergeCell ref="E18:H18"/>
    <mergeCell ref="E19:H20"/>
    <mergeCell ref="I11:L11"/>
    <mergeCell ref="I12:L13"/>
    <mergeCell ref="M8:P8"/>
    <mergeCell ref="M9:P10"/>
    <mergeCell ref="M11:P11"/>
    <mergeCell ref="M12:P13"/>
    <mergeCell ref="A11:D11"/>
    <mergeCell ref="A12:D13"/>
    <mergeCell ref="E8:H8"/>
    <mergeCell ref="E9:H10"/>
    <mergeCell ref="E11:H11"/>
    <mergeCell ref="E12:H13"/>
    <mergeCell ref="B5:D5"/>
    <mergeCell ref="G5:H5"/>
    <mergeCell ref="J5:K5"/>
    <mergeCell ref="N5:P5"/>
    <mergeCell ref="A8:D8"/>
    <mergeCell ref="A9:D10"/>
    <mergeCell ref="I8:L8"/>
    <mergeCell ref="I9:L10"/>
    <mergeCell ref="A1:P1"/>
    <mergeCell ref="A2:P2"/>
    <mergeCell ref="B4:D4"/>
    <mergeCell ref="G4:H4"/>
    <mergeCell ref="J4:K4"/>
    <mergeCell ref="N4:P4"/>
  </mergeCells>
  <conditionalFormatting sqref="I9">
    <cfRule type="expression" priority="1">
      <formula>I9&lt;0</formula>
    </cfRule>
  </conditionalFormatting>
  <dataValidations count="4">
    <dataValidation type="list" allowBlank="1" showInputMessage="1" showErrorMessage="1" sqref="J4" xr:uid="{B38DFDBB-5B54-4B4E-B5E6-D5FC9B40BC84}">
      <formula1>"Full Year,Jan,Feb,Mar,Apr,May,Jun,Jul,Aug,Sep,Oct,Nov,Dec"</formula1>
    </dataValidation>
    <dataValidation type="list" allowBlank="1" showInputMessage="1" showErrorMessage="1" sqref="B5" xr:uid="{F048BE48-B861-471B-902F-9DCD3E33EF3F}">
      <formula1>"All,Consulting Income,Insurance,Marketing,Office Supplies,Phone &amp; Internet,Product Sales,Rent,Service Revenue,Shipping,Software,Utilities"</formula1>
    </dataValidation>
    <dataValidation type="list" allowBlank="1" showInputMessage="1" showErrorMessage="1" sqref="G5" xr:uid="{A3CAA611-A83D-4A2A-A63C-3FF3332E2A81}">
      <formula1>"All,Income,Expense"</formula1>
    </dataValidation>
    <dataValidation type="list" allowBlank="1" showInputMessage="1" showErrorMessage="1" sqref="J5" xr:uid="{C0393E54-6E6E-4543-AB66-92BE8E592AF6}">
      <formula1>"All,Paid,Pending"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DEBD-3B9D-4800-86E7-A08921EEFA36}">
  <dimension ref="A1:N169"/>
  <sheetViews>
    <sheetView showGridLines="0" workbookViewId="0">
      <pane ySplit="1" topLeftCell="A2" activePane="bottomLeft" state="frozen"/>
      <selection pane="bottomLeft" sqref="A1:N169"/>
    </sheetView>
  </sheetViews>
  <sheetFormatPr defaultRowHeight="14.4" x14ac:dyDescent="0.3"/>
  <cols>
    <col min="1" max="1" width="14.44140625" customWidth="1"/>
    <col min="2" max="2" width="16.6640625" customWidth="1"/>
    <col min="3" max="4" width="19.44140625" customWidth="1"/>
    <col min="5" max="5" width="34.21875" customWidth="1"/>
    <col min="6" max="7" width="23.109375" customWidth="1"/>
    <col min="8" max="11" width="17" customWidth="1"/>
    <col min="12" max="12" width="16.33203125" customWidth="1"/>
    <col min="13" max="13" width="17" customWidth="1"/>
    <col min="14" max="14" width="38.88671875" customWidth="1"/>
  </cols>
  <sheetData>
    <row r="1" spans="1:1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3">
      <c r="A2" s="5">
        <v>1011</v>
      </c>
      <c r="B2" s="6">
        <v>45660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42">
        <v>167.57</v>
      </c>
      <c r="I2" s="8">
        <v>0.08</v>
      </c>
      <c r="J2" s="42">
        <v>13.41</v>
      </c>
      <c r="K2" s="42">
        <v>180.98</v>
      </c>
      <c r="L2" s="7" t="s">
        <v>19</v>
      </c>
      <c r="M2" s="42">
        <v>-180.98</v>
      </c>
      <c r="N2" s="7" t="s">
        <v>20</v>
      </c>
    </row>
    <row r="3" spans="1:14" x14ac:dyDescent="0.3">
      <c r="A3" s="5">
        <v>1005</v>
      </c>
      <c r="B3" s="6">
        <v>45664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42">
        <v>719.38</v>
      </c>
      <c r="I3" s="8">
        <v>0.08</v>
      </c>
      <c r="J3" s="42">
        <v>57.55</v>
      </c>
      <c r="K3" s="42">
        <v>776.93</v>
      </c>
      <c r="L3" s="7" t="s">
        <v>19</v>
      </c>
      <c r="M3" s="42">
        <v>776.93</v>
      </c>
      <c r="N3" s="7" t="s">
        <v>20</v>
      </c>
    </row>
    <row r="4" spans="1:14" x14ac:dyDescent="0.3">
      <c r="A4" s="5">
        <v>1003</v>
      </c>
      <c r="B4" s="6">
        <v>45665</v>
      </c>
      <c r="C4" s="7" t="s">
        <v>21</v>
      </c>
      <c r="D4" s="7" t="s">
        <v>26</v>
      </c>
      <c r="E4" s="7" t="s">
        <v>27</v>
      </c>
      <c r="F4" s="7" t="s">
        <v>28</v>
      </c>
      <c r="G4" s="7" t="s">
        <v>29</v>
      </c>
      <c r="H4" s="42">
        <v>391.89</v>
      </c>
      <c r="I4" s="8">
        <v>0.08</v>
      </c>
      <c r="J4" s="42">
        <v>31.35</v>
      </c>
      <c r="K4" s="42">
        <v>423.24</v>
      </c>
      <c r="L4" s="7" t="s">
        <v>19</v>
      </c>
      <c r="M4" s="42">
        <v>423.24</v>
      </c>
      <c r="N4" s="7" t="s">
        <v>20</v>
      </c>
    </row>
    <row r="5" spans="1:14" x14ac:dyDescent="0.3">
      <c r="A5" s="5">
        <v>1001</v>
      </c>
      <c r="B5" s="6">
        <v>45666</v>
      </c>
      <c r="C5" s="7" t="s">
        <v>21</v>
      </c>
      <c r="D5" s="7" t="s">
        <v>26</v>
      </c>
      <c r="E5" s="7" t="s">
        <v>27</v>
      </c>
      <c r="F5" s="7" t="s">
        <v>28</v>
      </c>
      <c r="G5" s="7" t="s">
        <v>18</v>
      </c>
      <c r="H5" s="42">
        <v>412.5</v>
      </c>
      <c r="I5" s="8">
        <v>0.08</v>
      </c>
      <c r="J5" s="42">
        <v>33</v>
      </c>
      <c r="K5" s="42">
        <v>445.5</v>
      </c>
      <c r="L5" s="7" t="s">
        <v>19</v>
      </c>
      <c r="M5" s="42">
        <v>445.5</v>
      </c>
      <c r="N5" s="7" t="s">
        <v>20</v>
      </c>
    </row>
    <row r="6" spans="1:14" x14ac:dyDescent="0.3">
      <c r="A6" s="5">
        <v>1004</v>
      </c>
      <c r="B6" s="6">
        <v>45666</v>
      </c>
      <c r="C6" s="7" t="s">
        <v>21</v>
      </c>
      <c r="D6" s="7" t="s">
        <v>30</v>
      </c>
      <c r="E6" s="7" t="s">
        <v>23</v>
      </c>
      <c r="F6" s="7" t="s">
        <v>31</v>
      </c>
      <c r="G6" s="7" t="s">
        <v>29</v>
      </c>
      <c r="H6" s="42">
        <v>438.87</v>
      </c>
      <c r="I6" s="8">
        <v>0.08</v>
      </c>
      <c r="J6" s="42">
        <v>35.11</v>
      </c>
      <c r="K6" s="42">
        <v>473.98</v>
      </c>
      <c r="L6" s="7" t="s">
        <v>19</v>
      </c>
      <c r="M6" s="42">
        <v>473.98</v>
      </c>
      <c r="N6" s="7" t="s">
        <v>20</v>
      </c>
    </row>
    <row r="7" spans="1:14" x14ac:dyDescent="0.3">
      <c r="A7" s="5">
        <v>1012</v>
      </c>
      <c r="B7" s="6">
        <v>45668</v>
      </c>
      <c r="C7" s="7" t="s">
        <v>14</v>
      </c>
      <c r="D7" s="7" t="s">
        <v>32</v>
      </c>
      <c r="E7" s="7" t="s">
        <v>33</v>
      </c>
      <c r="F7" s="7" t="s">
        <v>34</v>
      </c>
      <c r="G7" s="7" t="s">
        <v>18</v>
      </c>
      <c r="H7" s="42">
        <v>142.47999999999999</v>
      </c>
      <c r="I7" s="8">
        <v>0.08</v>
      </c>
      <c r="J7" s="42">
        <v>11.4</v>
      </c>
      <c r="K7" s="42">
        <v>153.88</v>
      </c>
      <c r="L7" s="7" t="s">
        <v>19</v>
      </c>
      <c r="M7" s="42">
        <v>-153.88</v>
      </c>
      <c r="N7" s="7" t="s">
        <v>20</v>
      </c>
    </row>
    <row r="8" spans="1:14" x14ac:dyDescent="0.3">
      <c r="A8" s="5">
        <v>1006</v>
      </c>
      <c r="B8" s="6">
        <v>45669</v>
      </c>
      <c r="C8" s="7" t="s">
        <v>21</v>
      </c>
      <c r="D8" s="7" t="s">
        <v>26</v>
      </c>
      <c r="E8" s="7" t="s">
        <v>27</v>
      </c>
      <c r="F8" s="7" t="s">
        <v>35</v>
      </c>
      <c r="G8" s="7" t="s">
        <v>29</v>
      </c>
      <c r="H8" s="42">
        <v>260.17</v>
      </c>
      <c r="I8" s="8">
        <v>0.08</v>
      </c>
      <c r="J8" s="42">
        <v>20.81</v>
      </c>
      <c r="K8" s="42">
        <v>280.98</v>
      </c>
      <c r="L8" s="7" t="s">
        <v>19</v>
      </c>
      <c r="M8" s="42">
        <v>280.98</v>
      </c>
      <c r="N8" s="7" t="s">
        <v>20</v>
      </c>
    </row>
    <row r="9" spans="1:14" x14ac:dyDescent="0.3">
      <c r="A9" s="5">
        <v>1007</v>
      </c>
      <c r="B9" s="6">
        <v>45669</v>
      </c>
      <c r="C9" s="7" t="s">
        <v>14</v>
      </c>
      <c r="D9" s="7" t="s">
        <v>36</v>
      </c>
      <c r="E9" s="7" t="s">
        <v>37</v>
      </c>
      <c r="F9" s="7" t="s">
        <v>38</v>
      </c>
      <c r="G9" s="7" t="s">
        <v>39</v>
      </c>
      <c r="H9" s="42">
        <v>1200</v>
      </c>
      <c r="I9" s="8">
        <v>0</v>
      </c>
      <c r="J9" s="42">
        <v>0</v>
      </c>
      <c r="K9" s="42">
        <v>1200</v>
      </c>
      <c r="L9" s="7" t="s">
        <v>19</v>
      </c>
      <c r="M9" s="42">
        <v>-1200</v>
      </c>
      <c r="N9" s="7" t="s">
        <v>20</v>
      </c>
    </row>
    <row r="10" spans="1:14" x14ac:dyDescent="0.3">
      <c r="A10" s="5">
        <v>1002</v>
      </c>
      <c r="B10" s="6">
        <v>45675</v>
      </c>
      <c r="C10" s="7" t="s">
        <v>21</v>
      </c>
      <c r="D10" s="7" t="s">
        <v>26</v>
      </c>
      <c r="E10" s="7" t="s">
        <v>27</v>
      </c>
      <c r="F10" s="7" t="s">
        <v>40</v>
      </c>
      <c r="G10" s="7" t="s">
        <v>25</v>
      </c>
      <c r="H10" s="42">
        <v>216.99</v>
      </c>
      <c r="I10" s="8">
        <v>0.08</v>
      </c>
      <c r="J10" s="42">
        <v>17.36</v>
      </c>
      <c r="K10" s="42">
        <v>234.35</v>
      </c>
      <c r="L10" s="7" t="s">
        <v>19</v>
      </c>
      <c r="M10" s="42">
        <v>234.35</v>
      </c>
      <c r="N10" s="7" t="s">
        <v>20</v>
      </c>
    </row>
    <row r="11" spans="1:14" x14ac:dyDescent="0.3">
      <c r="A11" s="5">
        <v>1008</v>
      </c>
      <c r="B11" s="6">
        <v>45677</v>
      </c>
      <c r="C11" s="7" t="s">
        <v>14</v>
      </c>
      <c r="D11" s="7" t="s">
        <v>41</v>
      </c>
      <c r="E11" s="7" t="s">
        <v>42</v>
      </c>
      <c r="F11" s="7" t="s">
        <v>43</v>
      </c>
      <c r="G11" s="7" t="s">
        <v>18</v>
      </c>
      <c r="H11" s="42">
        <v>119.92</v>
      </c>
      <c r="I11" s="8">
        <v>0.08</v>
      </c>
      <c r="J11" s="42">
        <v>9.59</v>
      </c>
      <c r="K11" s="42">
        <v>129.51</v>
      </c>
      <c r="L11" s="7" t="s">
        <v>44</v>
      </c>
      <c r="M11" s="42">
        <v>0</v>
      </c>
      <c r="N11" s="7" t="s">
        <v>20</v>
      </c>
    </row>
    <row r="12" spans="1:14" x14ac:dyDescent="0.3">
      <c r="A12" s="5">
        <v>1014</v>
      </c>
      <c r="B12" s="6">
        <v>45677</v>
      </c>
      <c r="C12" s="7" t="s">
        <v>14</v>
      </c>
      <c r="D12" s="7" t="s">
        <v>45</v>
      </c>
      <c r="E12" s="7" t="s">
        <v>46</v>
      </c>
      <c r="F12" s="7" t="s">
        <v>47</v>
      </c>
      <c r="G12" s="7" t="s">
        <v>39</v>
      </c>
      <c r="H12" s="42">
        <v>180</v>
      </c>
      <c r="I12" s="8">
        <v>0</v>
      </c>
      <c r="J12" s="42">
        <v>0</v>
      </c>
      <c r="K12" s="42">
        <v>180</v>
      </c>
      <c r="L12" s="7" t="s">
        <v>19</v>
      </c>
      <c r="M12" s="42">
        <v>-180</v>
      </c>
      <c r="N12" s="7" t="s">
        <v>20</v>
      </c>
    </row>
    <row r="13" spans="1:14" x14ac:dyDescent="0.3">
      <c r="A13" s="5">
        <v>1013</v>
      </c>
      <c r="B13" s="6">
        <v>45678</v>
      </c>
      <c r="C13" s="7" t="s">
        <v>14</v>
      </c>
      <c r="D13" s="7" t="s">
        <v>48</v>
      </c>
      <c r="E13" s="7" t="s">
        <v>49</v>
      </c>
      <c r="F13" s="7" t="s">
        <v>50</v>
      </c>
      <c r="G13" s="7" t="s">
        <v>39</v>
      </c>
      <c r="H13" s="42">
        <v>91.65</v>
      </c>
      <c r="I13" s="8">
        <v>0</v>
      </c>
      <c r="J13" s="42">
        <v>0</v>
      </c>
      <c r="K13" s="42">
        <v>91.65</v>
      </c>
      <c r="L13" s="7" t="s">
        <v>19</v>
      </c>
      <c r="M13" s="42">
        <v>-91.65</v>
      </c>
      <c r="N13" s="7" t="s">
        <v>20</v>
      </c>
    </row>
    <row r="14" spans="1:14" x14ac:dyDescent="0.3">
      <c r="A14" s="5">
        <v>1009</v>
      </c>
      <c r="B14" s="6">
        <v>45679</v>
      </c>
      <c r="C14" s="7" t="s">
        <v>14</v>
      </c>
      <c r="D14" s="7" t="s">
        <v>51</v>
      </c>
      <c r="E14" s="7" t="s">
        <v>52</v>
      </c>
      <c r="F14" s="7" t="s">
        <v>53</v>
      </c>
      <c r="G14" s="7" t="s">
        <v>25</v>
      </c>
      <c r="H14" s="42">
        <v>438.68</v>
      </c>
      <c r="I14" s="8">
        <v>0.08</v>
      </c>
      <c r="J14" s="42">
        <v>35.090000000000003</v>
      </c>
      <c r="K14" s="42">
        <v>473.77</v>
      </c>
      <c r="L14" s="7" t="s">
        <v>19</v>
      </c>
      <c r="M14" s="42">
        <v>-473.77</v>
      </c>
      <c r="N14" s="7" t="s">
        <v>20</v>
      </c>
    </row>
    <row r="15" spans="1:14" x14ac:dyDescent="0.3">
      <c r="A15" s="5">
        <v>1010</v>
      </c>
      <c r="B15" s="6">
        <v>45681</v>
      </c>
      <c r="C15" s="7" t="s">
        <v>14</v>
      </c>
      <c r="D15" s="7" t="s">
        <v>54</v>
      </c>
      <c r="E15" s="7" t="s">
        <v>55</v>
      </c>
      <c r="F15" s="7" t="s">
        <v>56</v>
      </c>
      <c r="G15" s="7" t="s">
        <v>25</v>
      </c>
      <c r="H15" s="42">
        <v>195.96</v>
      </c>
      <c r="I15" s="8">
        <v>0</v>
      </c>
      <c r="J15" s="42">
        <v>0</v>
      </c>
      <c r="K15" s="42">
        <v>195.96</v>
      </c>
      <c r="L15" s="7" t="s">
        <v>19</v>
      </c>
      <c r="M15" s="42">
        <v>-195.96</v>
      </c>
      <c r="N15" s="7" t="s">
        <v>20</v>
      </c>
    </row>
    <row r="16" spans="1:14" x14ac:dyDescent="0.3">
      <c r="A16" s="5">
        <v>1022</v>
      </c>
      <c r="B16" s="6">
        <v>45689</v>
      </c>
      <c r="C16" s="7" t="s">
        <v>14</v>
      </c>
      <c r="D16" s="7" t="s">
        <v>41</v>
      </c>
      <c r="E16" s="7" t="s">
        <v>42</v>
      </c>
      <c r="F16" s="7" t="s">
        <v>43</v>
      </c>
      <c r="G16" s="7" t="s">
        <v>25</v>
      </c>
      <c r="H16" s="42">
        <v>102.73</v>
      </c>
      <c r="I16" s="8">
        <v>0.08</v>
      </c>
      <c r="J16" s="42">
        <v>8.2200000000000006</v>
      </c>
      <c r="K16" s="42">
        <v>110.95</v>
      </c>
      <c r="L16" s="7" t="s">
        <v>19</v>
      </c>
      <c r="M16" s="42">
        <v>-110.95</v>
      </c>
      <c r="N16" s="7" t="s">
        <v>20</v>
      </c>
    </row>
    <row r="17" spans="1:14" x14ac:dyDescent="0.3">
      <c r="A17" s="5">
        <v>1021</v>
      </c>
      <c r="B17" s="6">
        <v>45692</v>
      </c>
      <c r="C17" s="7" t="s">
        <v>14</v>
      </c>
      <c r="D17" s="7" t="s">
        <v>36</v>
      </c>
      <c r="E17" s="7" t="s">
        <v>37</v>
      </c>
      <c r="F17" s="7" t="s">
        <v>38</v>
      </c>
      <c r="G17" s="7" t="s">
        <v>18</v>
      </c>
      <c r="H17" s="42">
        <v>1200</v>
      </c>
      <c r="I17" s="8">
        <v>0</v>
      </c>
      <c r="J17" s="42">
        <v>0</v>
      </c>
      <c r="K17" s="42">
        <v>1200</v>
      </c>
      <c r="L17" s="7" t="s">
        <v>44</v>
      </c>
      <c r="M17" s="42">
        <v>0</v>
      </c>
      <c r="N17" s="7" t="s">
        <v>20</v>
      </c>
    </row>
    <row r="18" spans="1:14" x14ac:dyDescent="0.3">
      <c r="A18" s="5">
        <v>1015</v>
      </c>
      <c r="B18" s="6">
        <v>45696</v>
      </c>
      <c r="C18" s="7" t="s">
        <v>21</v>
      </c>
      <c r="D18" s="7" t="s">
        <v>30</v>
      </c>
      <c r="E18" s="7" t="s">
        <v>23</v>
      </c>
      <c r="F18" s="7" t="s">
        <v>57</v>
      </c>
      <c r="G18" s="7" t="s">
        <v>29</v>
      </c>
      <c r="H18" s="42">
        <v>398.95</v>
      </c>
      <c r="I18" s="8">
        <v>0.08</v>
      </c>
      <c r="J18" s="42">
        <v>31.92</v>
      </c>
      <c r="K18" s="42">
        <v>430.87</v>
      </c>
      <c r="L18" s="7" t="s">
        <v>19</v>
      </c>
      <c r="M18" s="42">
        <v>430.87</v>
      </c>
      <c r="N18" s="7" t="s">
        <v>20</v>
      </c>
    </row>
    <row r="19" spans="1:14" x14ac:dyDescent="0.3">
      <c r="A19" s="5">
        <v>1027</v>
      </c>
      <c r="B19" s="6">
        <v>45698</v>
      </c>
      <c r="C19" s="7" t="s">
        <v>14</v>
      </c>
      <c r="D19" s="7" t="s">
        <v>48</v>
      </c>
      <c r="E19" s="7" t="s">
        <v>49</v>
      </c>
      <c r="F19" s="7" t="s">
        <v>50</v>
      </c>
      <c r="G19" s="7" t="s">
        <v>18</v>
      </c>
      <c r="H19" s="42">
        <v>122.64</v>
      </c>
      <c r="I19" s="8">
        <v>0</v>
      </c>
      <c r="J19" s="42">
        <v>0</v>
      </c>
      <c r="K19" s="42">
        <v>122.64</v>
      </c>
      <c r="L19" s="7" t="s">
        <v>19</v>
      </c>
      <c r="M19" s="42">
        <v>-122.64</v>
      </c>
      <c r="N19" s="7" t="s">
        <v>20</v>
      </c>
    </row>
    <row r="20" spans="1:14" x14ac:dyDescent="0.3">
      <c r="A20" s="5">
        <v>1017</v>
      </c>
      <c r="B20" s="6">
        <v>45699</v>
      </c>
      <c r="C20" s="7" t="s">
        <v>21</v>
      </c>
      <c r="D20" s="7" t="s">
        <v>30</v>
      </c>
      <c r="E20" s="7" t="s">
        <v>23</v>
      </c>
      <c r="F20" s="7" t="s">
        <v>58</v>
      </c>
      <c r="G20" s="7" t="s">
        <v>25</v>
      </c>
      <c r="H20" s="42">
        <v>263.75</v>
      </c>
      <c r="I20" s="8">
        <v>0.08</v>
      </c>
      <c r="J20" s="42">
        <v>21.1</v>
      </c>
      <c r="K20" s="42">
        <v>284.85000000000002</v>
      </c>
      <c r="L20" s="7" t="s">
        <v>44</v>
      </c>
      <c r="M20" s="42">
        <v>0</v>
      </c>
      <c r="N20" s="7" t="s">
        <v>20</v>
      </c>
    </row>
    <row r="21" spans="1:14" x14ac:dyDescent="0.3">
      <c r="A21" s="5">
        <v>1024</v>
      </c>
      <c r="B21" s="6">
        <v>45700</v>
      </c>
      <c r="C21" s="7" t="s">
        <v>14</v>
      </c>
      <c r="D21" s="7" t="s">
        <v>54</v>
      </c>
      <c r="E21" s="7" t="s">
        <v>55</v>
      </c>
      <c r="F21" s="7" t="s">
        <v>56</v>
      </c>
      <c r="G21" s="7" t="s">
        <v>18</v>
      </c>
      <c r="H21" s="42">
        <v>118.26</v>
      </c>
      <c r="I21" s="8">
        <v>0</v>
      </c>
      <c r="J21" s="42">
        <v>0</v>
      </c>
      <c r="K21" s="42">
        <v>118.26</v>
      </c>
      <c r="L21" s="7" t="s">
        <v>44</v>
      </c>
      <c r="M21" s="42">
        <v>0</v>
      </c>
      <c r="N21" s="7" t="s">
        <v>20</v>
      </c>
    </row>
    <row r="22" spans="1:14" x14ac:dyDescent="0.3">
      <c r="A22" s="5">
        <v>1028</v>
      </c>
      <c r="B22" s="6">
        <v>45702</v>
      </c>
      <c r="C22" s="7" t="s">
        <v>14</v>
      </c>
      <c r="D22" s="7" t="s">
        <v>45</v>
      </c>
      <c r="E22" s="7" t="s">
        <v>46</v>
      </c>
      <c r="F22" s="7" t="s">
        <v>47</v>
      </c>
      <c r="G22" s="7" t="s">
        <v>39</v>
      </c>
      <c r="H22" s="42">
        <v>180</v>
      </c>
      <c r="I22" s="8">
        <v>0</v>
      </c>
      <c r="J22" s="42">
        <v>0</v>
      </c>
      <c r="K22" s="42">
        <v>180</v>
      </c>
      <c r="L22" s="7" t="s">
        <v>19</v>
      </c>
      <c r="M22" s="42">
        <v>-180</v>
      </c>
      <c r="N22" s="7" t="s">
        <v>20</v>
      </c>
    </row>
    <row r="23" spans="1:14" x14ac:dyDescent="0.3">
      <c r="A23" s="5">
        <v>1025</v>
      </c>
      <c r="B23" s="6">
        <v>45705</v>
      </c>
      <c r="C23" s="7" t="s">
        <v>14</v>
      </c>
      <c r="D23" s="7" t="s">
        <v>15</v>
      </c>
      <c r="E23" s="7" t="s">
        <v>16</v>
      </c>
      <c r="F23" s="7" t="s">
        <v>17</v>
      </c>
      <c r="G23" s="7" t="s">
        <v>39</v>
      </c>
      <c r="H23" s="42">
        <v>117.01</v>
      </c>
      <c r="I23" s="8">
        <v>0.08</v>
      </c>
      <c r="J23" s="42">
        <v>9.36</v>
      </c>
      <c r="K23" s="42">
        <v>126.37</v>
      </c>
      <c r="L23" s="7" t="s">
        <v>19</v>
      </c>
      <c r="M23" s="42">
        <v>-126.37</v>
      </c>
      <c r="N23" s="7" t="s">
        <v>20</v>
      </c>
    </row>
    <row r="24" spans="1:14" x14ac:dyDescent="0.3">
      <c r="A24" s="5">
        <v>1020</v>
      </c>
      <c r="B24" s="6">
        <v>45706</v>
      </c>
      <c r="C24" s="7" t="s">
        <v>21</v>
      </c>
      <c r="D24" s="7" t="s">
        <v>30</v>
      </c>
      <c r="E24" s="7" t="s">
        <v>23</v>
      </c>
      <c r="F24" s="7" t="s">
        <v>40</v>
      </c>
      <c r="G24" s="7" t="s">
        <v>29</v>
      </c>
      <c r="H24" s="42">
        <v>534.09</v>
      </c>
      <c r="I24" s="8">
        <v>0.08</v>
      </c>
      <c r="J24" s="42">
        <v>42.73</v>
      </c>
      <c r="K24" s="42">
        <v>576.82000000000005</v>
      </c>
      <c r="L24" s="7" t="s">
        <v>19</v>
      </c>
      <c r="M24" s="42">
        <v>576.82000000000005</v>
      </c>
      <c r="N24" s="7" t="s">
        <v>20</v>
      </c>
    </row>
    <row r="25" spans="1:14" x14ac:dyDescent="0.3">
      <c r="A25" s="5">
        <v>1018</v>
      </c>
      <c r="B25" s="6">
        <v>45707</v>
      </c>
      <c r="C25" s="7" t="s">
        <v>21</v>
      </c>
      <c r="D25" s="7" t="s">
        <v>30</v>
      </c>
      <c r="E25" s="7" t="s">
        <v>23</v>
      </c>
      <c r="F25" s="7" t="s">
        <v>28</v>
      </c>
      <c r="G25" s="7" t="s">
        <v>29</v>
      </c>
      <c r="H25" s="42">
        <v>220.83</v>
      </c>
      <c r="I25" s="8">
        <v>0.08</v>
      </c>
      <c r="J25" s="42">
        <v>17.670000000000002</v>
      </c>
      <c r="K25" s="42">
        <v>238.5</v>
      </c>
      <c r="L25" s="7" t="s">
        <v>19</v>
      </c>
      <c r="M25" s="42">
        <v>238.5</v>
      </c>
      <c r="N25" s="7" t="s">
        <v>20</v>
      </c>
    </row>
    <row r="26" spans="1:14" x14ac:dyDescent="0.3">
      <c r="A26" s="5">
        <v>1026</v>
      </c>
      <c r="B26" s="6">
        <v>45709</v>
      </c>
      <c r="C26" s="7" t="s">
        <v>14</v>
      </c>
      <c r="D26" s="7" t="s">
        <v>32</v>
      </c>
      <c r="E26" s="7" t="s">
        <v>33</v>
      </c>
      <c r="F26" s="7" t="s">
        <v>34</v>
      </c>
      <c r="G26" s="7" t="s">
        <v>18</v>
      </c>
      <c r="H26" s="42">
        <v>199.96</v>
      </c>
      <c r="I26" s="8">
        <v>0.08</v>
      </c>
      <c r="J26" s="42">
        <v>16</v>
      </c>
      <c r="K26" s="42">
        <v>215.96</v>
      </c>
      <c r="L26" s="7" t="s">
        <v>44</v>
      </c>
      <c r="M26" s="42">
        <v>0</v>
      </c>
      <c r="N26" s="7" t="s">
        <v>20</v>
      </c>
    </row>
    <row r="27" spans="1:14" x14ac:dyDescent="0.3">
      <c r="A27" s="5">
        <v>1019</v>
      </c>
      <c r="B27" s="6">
        <v>45709</v>
      </c>
      <c r="C27" s="7" t="s">
        <v>21</v>
      </c>
      <c r="D27" s="7" t="s">
        <v>26</v>
      </c>
      <c r="E27" s="7" t="s">
        <v>27</v>
      </c>
      <c r="F27" s="7" t="s">
        <v>31</v>
      </c>
      <c r="G27" s="7" t="s">
        <v>59</v>
      </c>
      <c r="H27" s="42">
        <v>98.64</v>
      </c>
      <c r="I27" s="8">
        <v>0.08</v>
      </c>
      <c r="J27" s="42">
        <v>7.89</v>
      </c>
      <c r="K27" s="42">
        <v>106.53</v>
      </c>
      <c r="L27" s="7" t="s">
        <v>44</v>
      </c>
      <c r="M27" s="42">
        <v>0</v>
      </c>
      <c r="N27" s="7" t="s">
        <v>20</v>
      </c>
    </row>
    <row r="28" spans="1:14" x14ac:dyDescent="0.3">
      <c r="A28" s="5">
        <v>1016</v>
      </c>
      <c r="B28" s="6">
        <v>45709</v>
      </c>
      <c r="C28" s="7" t="s">
        <v>21</v>
      </c>
      <c r="D28" s="7" t="s">
        <v>22</v>
      </c>
      <c r="E28" s="7" t="s">
        <v>23</v>
      </c>
      <c r="F28" s="7" t="s">
        <v>60</v>
      </c>
      <c r="G28" s="7" t="s">
        <v>25</v>
      </c>
      <c r="H28" s="42">
        <v>256.81</v>
      </c>
      <c r="I28" s="8">
        <v>0.08</v>
      </c>
      <c r="J28" s="42">
        <v>20.54</v>
      </c>
      <c r="K28" s="42">
        <v>277.35000000000002</v>
      </c>
      <c r="L28" s="7" t="s">
        <v>19</v>
      </c>
      <c r="M28" s="42">
        <v>277.35000000000002</v>
      </c>
      <c r="N28" s="7" t="s">
        <v>20</v>
      </c>
    </row>
    <row r="29" spans="1:14" x14ac:dyDescent="0.3">
      <c r="A29" s="5">
        <v>1023</v>
      </c>
      <c r="B29" s="6">
        <v>45709</v>
      </c>
      <c r="C29" s="7" t="s">
        <v>14</v>
      </c>
      <c r="D29" s="7" t="s">
        <v>51</v>
      </c>
      <c r="E29" s="7" t="s">
        <v>52</v>
      </c>
      <c r="F29" s="7" t="s">
        <v>53</v>
      </c>
      <c r="G29" s="7" t="s">
        <v>39</v>
      </c>
      <c r="H29" s="42">
        <v>463.72</v>
      </c>
      <c r="I29" s="8">
        <v>0.08</v>
      </c>
      <c r="J29" s="42">
        <v>37.1</v>
      </c>
      <c r="K29" s="42">
        <v>500.82</v>
      </c>
      <c r="L29" s="7" t="s">
        <v>19</v>
      </c>
      <c r="M29" s="42">
        <v>-500.82</v>
      </c>
      <c r="N29" s="7" t="s">
        <v>20</v>
      </c>
    </row>
    <row r="30" spans="1:14" x14ac:dyDescent="0.3">
      <c r="A30" s="5">
        <v>1040</v>
      </c>
      <c r="B30" s="6">
        <v>45717</v>
      </c>
      <c r="C30" s="7" t="s">
        <v>14</v>
      </c>
      <c r="D30" s="7" t="s">
        <v>32</v>
      </c>
      <c r="E30" s="7" t="s">
        <v>33</v>
      </c>
      <c r="F30" s="7" t="s">
        <v>34</v>
      </c>
      <c r="G30" s="7" t="s">
        <v>25</v>
      </c>
      <c r="H30" s="42">
        <v>59.49</v>
      </c>
      <c r="I30" s="8">
        <v>0.08</v>
      </c>
      <c r="J30" s="42">
        <v>4.76</v>
      </c>
      <c r="K30" s="42">
        <v>64.25</v>
      </c>
      <c r="L30" s="7" t="s">
        <v>19</v>
      </c>
      <c r="M30" s="42">
        <v>-64.25</v>
      </c>
      <c r="N30" s="7" t="s">
        <v>20</v>
      </c>
    </row>
    <row r="31" spans="1:14" x14ac:dyDescent="0.3">
      <c r="A31" s="5">
        <v>1032</v>
      </c>
      <c r="B31" s="6">
        <v>45719</v>
      </c>
      <c r="C31" s="7" t="s">
        <v>21</v>
      </c>
      <c r="D31" s="7" t="s">
        <v>30</v>
      </c>
      <c r="E31" s="7" t="s">
        <v>23</v>
      </c>
      <c r="F31" s="7" t="s">
        <v>57</v>
      </c>
      <c r="G31" s="7" t="s">
        <v>25</v>
      </c>
      <c r="H31" s="42">
        <v>237.34</v>
      </c>
      <c r="I31" s="8">
        <v>0.08</v>
      </c>
      <c r="J31" s="42">
        <v>18.989999999999998</v>
      </c>
      <c r="K31" s="42">
        <v>256.33</v>
      </c>
      <c r="L31" s="7" t="s">
        <v>19</v>
      </c>
      <c r="M31" s="42">
        <v>256.33</v>
      </c>
      <c r="N31" s="7" t="s">
        <v>20</v>
      </c>
    </row>
    <row r="32" spans="1:14" x14ac:dyDescent="0.3">
      <c r="A32" s="5">
        <v>1042</v>
      </c>
      <c r="B32" s="6">
        <v>45720</v>
      </c>
      <c r="C32" s="7" t="s">
        <v>14</v>
      </c>
      <c r="D32" s="7" t="s">
        <v>45</v>
      </c>
      <c r="E32" s="7" t="s">
        <v>46</v>
      </c>
      <c r="F32" s="7" t="s">
        <v>47</v>
      </c>
      <c r="G32" s="7" t="s">
        <v>39</v>
      </c>
      <c r="H32" s="42">
        <v>180</v>
      </c>
      <c r="I32" s="8">
        <v>0</v>
      </c>
      <c r="J32" s="42">
        <v>0</v>
      </c>
      <c r="K32" s="42">
        <v>180</v>
      </c>
      <c r="L32" s="7" t="s">
        <v>44</v>
      </c>
      <c r="M32" s="42">
        <v>0</v>
      </c>
      <c r="N32" s="7" t="s">
        <v>20</v>
      </c>
    </row>
    <row r="33" spans="1:14" x14ac:dyDescent="0.3">
      <c r="A33" s="5">
        <v>1041</v>
      </c>
      <c r="B33" s="6">
        <v>45724</v>
      </c>
      <c r="C33" s="7" t="s">
        <v>14</v>
      </c>
      <c r="D33" s="7" t="s">
        <v>48</v>
      </c>
      <c r="E33" s="7" t="s">
        <v>49</v>
      </c>
      <c r="F33" s="7" t="s">
        <v>50</v>
      </c>
      <c r="G33" s="7" t="s">
        <v>18</v>
      </c>
      <c r="H33" s="42">
        <v>103.56</v>
      </c>
      <c r="I33" s="8">
        <v>0</v>
      </c>
      <c r="J33" s="42">
        <v>0</v>
      </c>
      <c r="K33" s="42">
        <v>103.56</v>
      </c>
      <c r="L33" s="7" t="s">
        <v>44</v>
      </c>
      <c r="M33" s="42">
        <v>0</v>
      </c>
      <c r="N33" s="7" t="s">
        <v>20</v>
      </c>
    </row>
    <row r="34" spans="1:14" x14ac:dyDescent="0.3">
      <c r="A34" s="5">
        <v>1037</v>
      </c>
      <c r="B34" s="6">
        <v>45726</v>
      </c>
      <c r="C34" s="7" t="s">
        <v>14</v>
      </c>
      <c r="D34" s="7" t="s">
        <v>51</v>
      </c>
      <c r="E34" s="7" t="s">
        <v>52</v>
      </c>
      <c r="F34" s="7" t="s">
        <v>53</v>
      </c>
      <c r="G34" s="7" t="s">
        <v>39</v>
      </c>
      <c r="H34" s="42">
        <v>262.35000000000002</v>
      </c>
      <c r="I34" s="8">
        <v>0.08</v>
      </c>
      <c r="J34" s="42">
        <v>20.99</v>
      </c>
      <c r="K34" s="42">
        <v>283.33999999999997</v>
      </c>
      <c r="L34" s="7" t="s">
        <v>19</v>
      </c>
      <c r="M34" s="42">
        <v>-283.33999999999997</v>
      </c>
      <c r="N34" s="7" t="s">
        <v>20</v>
      </c>
    </row>
    <row r="35" spans="1:14" x14ac:dyDescent="0.3">
      <c r="A35" s="5">
        <v>1031</v>
      </c>
      <c r="B35" s="6">
        <v>45728</v>
      </c>
      <c r="C35" s="7" t="s">
        <v>21</v>
      </c>
      <c r="D35" s="7" t="s">
        <v>26</v>
      </c>
      <c r="E35" s="7" t="s">
        <v>27</v>
      </c>
      <c r="F35" s="7" t="s">
        <v>28</v>
      </c>
      <c r="G35" s="7" t="s">
        <v>25</v>
      </c>
      <c r="H35" s="42">
        <v>276.01</v>
      </c>
      <c r="I35" s="8">
        <v>0.08</v>
      </c>
      <c r="J35" s="42">
        <v>22.08</v>
      </c>
      <c r="K35" s="42">
        <v>298.08999999999997</v>
      </c>
      <c r="L35" s="7" t="s">
        <v>19</v>
      </c>
      <c r="M35" s="42">
        <v>298.08999999999997</v>
      </c>
      <c r="N35" s="7" t="s">
        <v>20</v>
      </c>
    </row>
    <row r="36" spans="1:14" x14ac:dyDescent="0.3">
      <c r="A36" s="5">
        <v>1036</v>
      </c>
      <c r="B36" s="6">
        <v>45730</v>
      </c>
      <c r="C36" s="7" t="s">
        <v>14</v>
      </c>
      <c r="D36" s="7" t="s">
        <v>41</v>
      </c>
      <c r="E36" s="7" t="s">
        <v>42</v>
      </c>
      <c r="F36" s="7" t="s">
        <v>43</v>
      </c>
      <c r="G36" s="7" t="s">
        <v>25</v>
      </c>
      <c r="H36" s="42">
        <v>171.47</v>
      </c>
      <c r="I36" s="8">
        <v>0.08</v>
      </c>
      <c r="J36" s="42">
        <v>13.72</v>
      </c>
      <c r="K36" s="42">
        <v>185.19</v>
      </c>
      <c r="L36" s="7" t="s">
        <v>19</v>
      </c>
      <c r="M36" s="42">
        <v>-185.19</v>
      </c>
      <c r="N36" s="7" t="s">
        <v>20</v>
      </c>
    </row>
    <row r="37" spans="1:14" x14ac:dyDescent="0.3">
      <c r="A37" s="5">
        <v>1033</v>
      </c>
      <c r="B37" s="6">
        <v>45732</v>
      </c>
      <c r="C37" s="7" t="s">
        <v>21</v>
      </c>
      <c r="D37" s="7" t="s">
        <v>30</v>
      </c>
      <c r="E37" s="7" t="s">
        <v>23</v>
      </c>
      <c r="F37" s="7" t="s">
        <v>58</v>
      </c>
      <c r="G37" s="7" t="s">
        <v>29</v>
      </c>
      <c r="H37" s="42">
        <v>589.66</v>
      </c>
      <c r="I37" s="8">
        <v>0.08</v>
      </c>
      <c r="J37" s="42">
        <v>47.17</v>
      </c>
      <c r="K37" s="42">
        <v>636.83000000000004</v>
      </c>
      <c r="L37" s="7" t="s">
        <v>19</v>
      </c>
      <c r="M37" s="42">
        <v>636.83000000000004</v>
      </c>
      <c r="N37" s="7" t="s">
        <v>20</v>
      </c>
    </row>
    <row r="38" spans="1:14" x14ac:dyDescent="0.3">
      <c r="A38" s="5">
        <v>1038</v>
      </c>
      <c r="B38" s="6">
        <v>45734</v>
      </c>
      <c r="C38" s="7" t="s">
        <v>14</v>
      </c>
      <c r="D38" s="7" t="s">
        <v>54</v>
      </c>
      <c r="E38" s="7" t="s">
        <v>55</v>
      </c>
      <c r="F38" s="7" t="s">
        <v>56</v>
      </c>
      <c r="G38" s="7" t="s">
        <v>25</v>
      </c>
      <c r="H38" s="42">
        <v>182.01</v>
      </c>
      <c r="I38" s="8">
        <v>0</v>
      </c>
      <c r="J38" s="42">
        <v>0</v>
      </c>
      <c r="K38" s="42">
        <v>182.01</v>
      </c>
      <c r="L38" s="7" t="s">
        <v>19</v>
      </c>
      <c r="M38" s="42">
        <v>-182.01</v>
      </c>
      <c r="N38" s="7" t="s">
        <v>20</v>
      </c>
    </row>
    <row r="39" spans="1:14" x14ac:dyDescent="0.3">
      <c r="A39" s="5">
        <v>1039</v>
      </c>
      <c r="B39" s="6">
        <v>45736</v>
      </c>
      <c r="C39" s="7" t="s">
        <v>14</v>
      </c>
      <c r="D39" s="7" t="s">
        <v>15</v>
      </c>
      <c r="E39" s="7" t="s">
        <v>16</v>
      </c>
      <c r="F39" s="7" t="s">
        <v>17</v>
      </c>
      <c r="G39" s="7" t="s">
        <v>25</v>
      </c>
      <c r="H39" s="42">
        <v>46</v>
      </c>
      <c r="I39" s="8">
        <v>0.08</v>
      </c>
      <c r="J39" s="42">
        <v>3.68</v>
      </c>
      <c r="K39" s="42">
        <v>49.68</v>
      </c>
      <c r="L39" s="7" t="s">
        <v>19</v>
      </c>
      <c r="M39" s="42">
        <v>-49.68</v>
      </c>
      <c r="N39" s="7" t="s">
        <v>20</v>
      </c>
    </row>
    <row r="40" spans="1:14" x14ac:dyDescent="0.3">
      <c r="A40" s="5">
        <v>1035</v>
      </c>
      <c r="B40" s="6">
        <v>45736</v>
      </c>
      <c r="C40" s="7" t="s">
        <v>14</v>
      </c>
      <c r="D40" s="7" t="s">
        <v>36</v>
      </c>
      <c r="E40" s="7" t="s">
        <v>37</v>
      </c>
      <c r="F40" s="7" t="s">
        <v>38</v>
      </c>
      <c r="G40" s="7" t="s">
        <v>18</v>
      </c>
      <c r="H40" s="42">
        <v>1200</v>
      </c>
      <c r="I40" s="8">
        <v>0</v>
      </c>
      <c r="J40" s="42">
        <v>0</v>
      </c>
      <c r="K40" s="42">
        <v>1200</v>
      </c>
      <c r="L40" s="7" t="s">
        <v>19</v>
      </c>
      <c r="M40" s="42">
        <v>-1200</v>
      </c>
      <c r="N40" s="7" t="s">
        <v>20</v>
      </c>
    </row>
    <row r="41" spans="1:14" x14ac:dyDescent="0.3">
      <c r="A41" s="5">
        <v>1034</v>
      </c>
      <c r="B41" s="6">
        <v>45741</v>
      </c>
      <c r="C41" s="7" t="s">
        <v>21</v>
      </c>
      <c r="D41" s="7" t="s">
        <v>30</v>
      </c>
      <c r="E41" s="7" t="s">
        <v>23</v>
      </c>
      <c r="F41" s="7" t="s">
        <v>58</v>
      </c>
      <c r="G41" s="7" t="s">
        <v>29</v>
      </c>
      <c r="H41" s="42">
        <v>213.41</v>
      </c>
      <c r="I41" s="8">
        <v>0.08</v>
      </c>
      <c r="J41" s="42">
        <v>17.07</v>
      </c>
      <c r="K41" s="42">
        <v>230.48</v>
      </c>
      <c r="L41" s="7" t="s">
        <v>19</v>
      </c>
      <c r="M41" s="42">
        <v>230.48</v>
      </c>
      <c r="N41" s="7" t="s">
        <v>20</v>
      </c>
    </row>
    <row r="42" spans="1:14" x14ac:dyDescent="0.3">
      <c r="A42" s="5">
        <v>1030</v>
      </c>
      <c r="B42" s="6">
        <v>45741</v>
      </c>
      <c r="C42" s="7" t="s">
        <v>21</v>
      </c>
      <c r="D42" s="7" t="s">
        <v>30</v>
      </c>
      <c r="E42" s="7" t="s">
        <v>23</v>
      </c>
      <c r="F42" s="7" t="s">
        <v>35</v>
      </c>
      <c r="G42" s="7" t="s">
        <v>59</v>
      </c>
      <c r="H42" s="42">
        <v>578.16999999999996</v>
      </c>
      <c r="I42" s="8">
        <v>0.08</v>
      </c>
      <c r="J42" s="42">
        <v>46.25</v>
      </c>
      <c r="K42" s="42">
        <v>624.41999999999996</v>
      </c>
      <c r="L42" s="7" t="s">
        <v>19</v>
      </c>
      <c r="M42" s="42">
        <v>624.41999999999996</v>
      </c>
      <c r="N42" s="7" t="s">
        <v>20</v>
      </c>
    </row>
    <row r="43" spans="1:14" x14ac:dyDescent="0.3">
      <c r="A43" s="5">
        <v>1029</v>
      </c>
      <c r="B43" s="6">
        <v>45741</v>
      </c>
      <c r="C43" s="7" t="s">
        <v>21</v>
      </c>
      <c r="D43" s="7" t="s">
        <v>22</v>
      </c>
      <c r="E43" s="7" t="s">
        <v>23</v>
      </c>
      <c r="F43" s="7" t="s">
        <v>24</v>
      </c>
      <c r="G43" s="7" t="s">
        <v>59</v>
      </c>
      <c r="H43" s="42">
        <v>268.27</v>
      </c>
      <c r="I43" s="8">
        <v>0.08</v>
      </c>
      <c r="J43" s="42">
        <v>21.46</v>
      </c>
      <c r="K43" s="42">
        <v>289.73</v>
      </c>
      <c r="L43" s="7" t="s">
        <v>19</v>
      </c>
      <c r="M43" s="42">
        <v>289.73</v>
      </c>
      <c r="N43" s="7" t="s">
        <v>20</v>
      </c>
    </row>
    <row r="44" spans="1:14" x14ac:dyDescent="0.3">
      <c r="A44" s="5">
        <v>1055</v>
      </c>
      <c r="B44" s="6">
        <v>45748</v>
      </c>
      <c r="C44" s="7" t="s">
        <v>14</v>
      </c>
      <c r="D44" s="7" t="s">
        <v>48</v>
      </c>
      <c r="E44" s="7" t="s">
        <v>49</v>
      </c>
      <c r="F44" s="7" t="s">
        <v>50</v>
      </c>
      <c r="G44" s="7" t="s">
        <v>39</v>
      </c>
      <c r="H44" s="42">
        <v>81.33</v>
      </c>
      <c r="I44" s="8">
        <v>0</v>
      </c>
      <c r="J44" s="42">
        <v>0</v>
      </c>
      <c r="K44" s="42">
        <v>81.33</v>
      </c>
      <c r="L44" s="7" t="s">
        <v>44</v>
      </c>
      <c r="M44" s="42">
        <v>0</v>
      </c>
      <c r="N44" s="7" t="s">
        <v>20</v>
      </c>
    </row>
    <row r="45" spans="1:14" x14ac:dyDescent="0.3">
      <c r="A45" s="5">
        <v>1046</v>
      </c>
      <c r="B45" s="6">
        <v>45751</v>
      </c>
      <c r="C45" s="7" t="s">
        <v>21</v>
      </c>
      <c r="D45" s="7" t="s">
        <v>22</v>
      </c>
      <c r="E45" s="7" t="s">
        <v>23</v>
      </c>
      <c r="F45" s="7" t="s">
        <v>28</v>
      </c>
      <c r="G45" s="7" t="s">
        <v>18</v>
      </c>
      <c r="H45" s="42">
        <v>379.61</v>
      </c>
      <c r="I45" s="8">
        <v>0.08</v>
      </c>
      <c r="J45" s="42">
        <v>30.37</v>
      </c>
      <c r="K45" s="42">
        <v>409.98</v>
      </c>
      <c r="L45" s="7" t="s">
        <v>19</v>
      </c>
      <c r="M45" s="42">
        <v>409.98</v>
      </c>
      <c r="N45" s="7" t="s">
        <v>20</v>
      </c>
    </row>
    <row r="46" spans="1:14" x14ac:dyDescent="0.3">
      <c r="A46" s="5">
        <v>1054</v>
      </c>
      <c r="B46" s="6">
        <v>45751</v>
      </c>
      <c r="C46" s="7" t="s">
        <v>14</v>
      </c>
      <c r="D46" s="7" t="s">
        <v>32</v>
      </c>
      <c r="E46" s="7" t="s">
        <v>33</v>
      </c>
      <c r="F46" s="7" t="s">
        <v>34</v>
      </c>
      <c r="G46" s="7" t="s">
        <v>18</v>
      </c>
      <c r="H46" s="42">
        <v>199.46</v>
      </c>
      <c r="I46" s="8">
        <v>0.08</v>
      </c>
      <c r="J46" s="42">
        <v>15.96</v>
      </c>
      <c r="K46" s="42">
        <v>215.42</v>
      </c>
      <c r="L46" s="7" t="s">
        <v>19</v>
      </c>
      <c r="M46" s="42">
        <v>-215.42</v>
      </c>
      <c r="N46" s="7" t="s">
        <v>20</v>
      </c>
    </row>
    <row r="47" spans="1:14" x14ac:dyDescent="0.3">
      <c r="A47" s="5">
        <v>1051</v>
      </c>
      <c r="B47" s="6">
        <v>45752</v>
      </c>
      <c r="C47" s="7" t="s">
        <v>14</v>
      </c>
      <c r="D47" s="7" t="s">
        <v>51</v>
      </c>
      <c r="E47" s="7" t="s">
        <v>52</v>
      </c>
      <c r="F47" s="7" t="s">
        <v>53</v>
      </c>
      <c r="G47" s="7" t="s">
        <v>25</v>
      </c>
      <c r="H47" s="42">
        <v>601.22</v>
      </c>
      <c r="I47" s="8">
        <v>0.08</v>
      </c>
      <c r="J47" s="42">
        <v>48.1</v>
      </c>
      <c r="K47" s="42">
        <v>649.32000000000005</v>
      </c>
      <c r="L47" s="7" t="s">
        <v>19</v>
      </c>
      <c r="M47" s="42">
        <v>-649.32000000000005</v>
      </c>
      <c r="N47" s="7" t="s">
        <v>20</v>
      </c>
    </row>
    <row r="48" spans="1:14" x14ac:dyDescent="0.3">
      <c r="A48" s="5">
        <v>1047</v>
      </c>
      <c r="B48" s="6">
        <v>45753</v>
      </c>
      <c r="C48" s="7" t="s">
        <v>21</v>
      </c>
      <c r="D48" s="7" t="s">
        <v>26</v>
      </c>
      <c r="E48" s="7" t="s">
        <v>27</v>
      </c>
      <c r="F48" s="7" t="s">
        <v>57</v>
      </c>
      <c r="G48" s="7" t="s">
        <v>18</v>
      </c>
      <c r="H48" s="42">
        <v>251.26</v>
      </c>
      <c r="I48" s="8">
        <v>0.08</v>
      </c>
      <c r="J48" s="42">
        <v>20.100000000000001</v>
      </c>
      <c r="K48" s="42">
        <v>271.36</v>
      </c>
      <c r="L48" s="7" t="s">
        <v>19</v>
      </c>
      <c r="M48" s="42">
        <v>271.36</v>
      </c>
      <c r="N48" s="7" t="s">
        <v>20</v>
      </c>
    </row>
    <row r="49" spans="1:14" x14ac:dyDescent="0.3">
      <c r="A49" s="5">
        <v>1052</v>
      </c>
      <c r="B49" s="6">
        <v>45755</v>
      </c>
      <c r="C49" s="7" t="s">
        <v>14</v>
      </c>
      <c r="D49" s="7" t="s">
        <v>54</v>
      </c>
      <c r="E49" s="7" t="s">
        <v>55</v>
      </c>
      <c r="F49" s="7" t="s">
        <v>56</v>
      </c>
      <c r="G49" s="7" t="s">
        <v>18</v>
      </c>
      <c r="H49" s="42">
        <v>238.09</v>
      </c>
      <c r="I49" s="8">
        <v>0</v>
      </c>
      <c r="J49" s="42">
        <v>0</v>
      </c>
      <c r="K49" s="42">
        <v>238.09</v>
      </c>
      <c r="L49" s="7" t="s">
        <v>19</v>
      </c>
      <c r="M49" s="42">
        <v>-238.09</v>
      </c>
      <c r="N49" s="7" t="s">
        <v>20</v>
      </c>
    </row>
    <row r="50" spans="1:14" x14ac:dyDescent="0.3">
      <c r="A50" s="5">
        <v>1044</v>
      </c>
      <c r="B50" s="6">
        <v>45759</v>
      </c>
      <c r="C50" s="7" t="s">
        <v>21</v>
      </c>
      <c r="D50" s="7" t="s">
        <v>26</v>
      </c>
      <c r="E50" s="7" t="s">
        <v>27</v>
      </c>
      <c r="F50" s="7" t="s">
        <v>40</v>
      </c>
      <c r="G50" s="7" t="s">
        <v>29</v>
      </c>
      <c r="H50" s="42">
        <v>222.31</v>
      </c>
      <c r="I50" s="8">
        <v>0.08</v>
      </c>
      <c r="J50" s="42">
        <v>17.78</v>
      </c>
      <c r="K50" s="42">
        <v>240.09</v>
      </c>
      <c r="L50" s="7" t="s">
        <v>44</v>
      </c>
      <c r="M50" s="42">
        <v>0</v>
      </c>
      <c r="N50" s="7" t="s">
        <v>20</v>
      </c>
    </row>
    <row r="51" spans="1:14" x14ac:dyDescent="0.3">
      <c r="A51" s="5">
        <v>1050</v>
      </c>
      <c r="B51" s="6">
        <v>45762</v>
      </c>
      <c r="C51" s="7" t="s">
        <v>14</v>
      </c>
      <c r="D51" s="7" t="s">
        <v>41</v>
      </c>
      <c r="E51" s="7" t="s">
        <v>42</v>
      </c>
      <c r="F51" s="7" t="s">
        <v>43</v>
      </c>
      <c r="G51" s="7" t="s">
        <v>18</v>
      </c>
      <c r="H51" s="42">
        <v>129.55000000000001</v>
      </c>
      <c r="I51" s="8">
        <v>0.08</v>
      </c>
      <c r="J51" s="42">
        <v>10.36</v>
      </c>
      <c r="K51" s="42">
        <v>139.91</v>
      </c>
      <c r="L51" s="7" t="s">
        <v>19</v>
      </c>
      <c r="M51" s="42">
        <v>-139.91</v>
      </c>
      <c r="N51" s="7" t="s">
        <v>20</v>
      </c>
    </row>
    <row r="52" spans="1:14" x14ac:dyDescent="0.3">
      <c r="A52" s="5">
        <v>1043</v>
      </c>
      <c r="B52" s="6">
        <v>45763</v>
      </c>
      <c r="C52" s="7" t="s">
        <v>21</v>
      </c>
      <c r="D52" s="7" t="s">
        <v>26</v>
      </c>
      <c r="E52" s="7" t="s">
        <v>27</v>
      </c>
      <c r="F52" s="7" t="s">
        <v>28</v>
      </c>
      <c r="G52" s="7" t="s">
        <v>25</v>
      </c>
      <c r="H52" s="42">
        <v>230.19</v>
      </c>
      <c r="I52" s="8">
        <v>0.08</v>
      </c>
      <c r="J52" s="42">
        <v>18.420000000000002</v>
      </c>
      <c r="K52" s="42">
        <v>248.61</v>
      </c>
      <c r="L52" s="7" t="s">
        <v>44</v>
      </c>
      <c r="M52" s="42">
        <v>0</v>
      </c>
      <c r="N52" s="7" t="s">
        <v>20</v>
      </c>
    </row>
    <row r="53" spans="1:14" x14ac:dyDescent="0.3">
      <c r="A53" s="5">
        <v>1048</v>
      </c>
      <c r="B53" s="6">
        <v>45765</v>
      </c>
      <c r="C53" s="7" t="s">
        <v>21</v>
      </c>
      <c r="D53" s="7" t="s">
        <v>26</v>
      </c>
      <c r="E53" s="7" t="s">
        <v>27</v>
      </c>
      <c r="F53" s="7" t="s">
        <v>35</v>
      </c>
      <c r="G53" s="7" t="s">
        <v>25</v>
      </c>
      <c r="H53" s="42">
        <v>287.06</v>
      </c>
      <c r="I53" s="8">
        <v>0.08</v>
      </c>
      <c r="J53" s="42">
        <v>22.96</v>
      </c>
      <c r="K53" s="42">
        <v>310.02</v>
      </c>
      <c r="L53" s="7" t="s">
        <v>19</v>
      </c>
      <c r="M53" s="42">
        <v>310.02</v>
      </c>
      <c r="N53" s="7" t="s">
        <v>20</v>
      </c>
    </row>
    <row r="54" spans="1:14" x14ac:dyDescent="0.3">
      <c r="A54" s="5">
        <v>1045</v>
      </c>
      <c r="B54" s="6">
        <v>45768</v>
      </c>
      <c r="C54" s="7" t="s">
        <v>21</v>
      </c>
      <c r="D54" s="7" t="s">
        <v>26</v>
      </c>
      <c r="E54" s="7" t="s">
        <v>27</v>
      </c>
      <c r="F54" s="7" t="s">
        <v>35</v>
      </c>
      <c r="G54" s="7" t="s">
        <v>29</v>
      </c>
      <c r="H54" s="42">
        <v>217.99</v>
      </c>
      <c r="I54" s="8">
        <v>0.08</v>
      </c>
      <c r="J54" s="42">
        <v>17.440000000000001</v>
      </c>
      <c r="K54" s="42">
        <v>235.43</v>
      </c>
      <c r="L54" s="7" t="s">
        <v>19</v>
      </c>
      <c r="M54" s="42">
        <v>235.43</v>
      </c>
      <c r="N54" s="7" t="s">
        <v>20</v>
      </c>
    </row>
    <row r="55" spans="1:14" x14ac:dyDescent="0.3">
      <c r="A55" s="5">
        <v>1056</v>
      </c>
      <c r="B55" s="6">
        <v>45770</v>
      </c>
      <c r="C55" s="7" t="s">
        <v>14</v>
      </c>
      <c r="D55" s="7" t="s">
        <v>45</v>
      </c>
      <c r="E55" s="7" t="s">
        <v>46</v>
      </c>
      <c r="F55" s="7" t="s">
        <v>47</v>
      </c>
      <c r="G55" s="7" t="s">
        <v>25</v>
      </c>
      <c r="H55" s="42">
        <v>180</v>
      </c>
      <c r="I55" s="8">
        <v>0</v>
      </c>
      <c r="J55" s="42">
        <v>0</v>
      </c>
      <c r="K55" s="42">
        <v>180</v>
      </c>
      <c r="L55" s="7" t="s">
        <v>19</v>
      </c>
      <c r="M55" s="42">
        <v>-180</v>
      </c>
      <c r="N55" s="7" t="s">
        <v>20</v>
      </c>
    </row>
    <row r="56" spans="1:14" x14ac:dyDescent="0.3">
      <c r="A56" s="5">
        <v>1053</v>
      </c>
      <c r="B56" s="6">
        <v>45770</v>
      </c>
      <c r="C56" s="7" t="s">
        <v>14</v>
      </c>
      <c r="D56" s="7" t="s">
        <v>15</v>
      </c>
      <c r="E56" s="7" t="s">
        <v>16</v>
      </c>
      <c r="F56" s="7" t="s">
        <v>17</v>
      </c>
      <c r="G56" s="7" t="s">
        <v>39</v>
      </c>
      <c r="H56" s="42">
        <v>100.57</v>
      </c>
      <c r="I56" s="8">
        <v>0.08</v>
      </c>
      <c r="J56" s="42">
        <v>8.0500000000000007</v>
      </c>
      <c r="K56" s="42">
        <v>108.62</v>
      </c>
      <c r="L56" s="7" t="s">
        <v>44</v>
      </c>
      <c r="M56" s="42">
        <v>0</v>
      </c>
      <c r="N56" s="7" t="s">
        <v>20</v>
      </c>
    </row>
    <row r="57" spans="1:14" x14ac:dyDescent="0.3">
      <c r="A57" s="5">
        <v>1049</v>
      </c>
      <c r="B57" s="6">
        <v>45771</v>
      </c>
      <c r="C57" s="7" t="s">
        <v>14</v>
      </c>
      <c r="D57" s="7" t="s">
        <v>36</v>
      </c>
      <c r="E57" s="7" t="s">
        <v>37</v>
      </c>
      <c r="F57" s="7" t="s">
        <v>38</v>
      </c>
      <c r="G57" s="7" t="s">
        <v>25</v>
      </c>
      <c r="H57" s="42">
        <v>1200</v>
      </c>
      <c r="I57" s="8">
        <v>0</v>
      </c>
      <c r="J57" s="42">
        <v>0</v>
      </c>
      <c r="K57" s="42">
        <v>1200</v>
      </c>
      <c r="L57" s="7" t="s">
        <v>19</v>
      </c>
      <c r="M57" s="42">
        <v>-1200</v>
      </c>
      <c r="N57" s="7" t="s">
        <v>20</v>
      </c>
    </row>
    <row r="58" spans="1:14" x14ac:dyDescent="0.3">
      <c r="A58" s="5">
        <v>1059</v>
      </c>
      <c r="B58" s="6">
        <v>45779</v>
      </c>
      <c r="C58" s="7" t="s">
        <v>21</v>
      </c>
      <c r="D58" s="7" t="s">
        <v>30</v>
      </c>
      <c r="E58" s="7" t="s">
        <v>23</v>
      </c>
      <c r="F58" s="7" t="s">
        <v>40</v>
      </c>
      <c r="G58" s="7" t="s">
        <v>59</v>
      </c>
      <c r="H58" s="42">
        <v>377.91</v>
      </c>
      <c r="I58" s="8">
        <v>0.08</v>
      </c>
      <c r="J58" s="42">
        <v>30.23</v>
      </c>
      <c r="K58" s="42">
        <v>408.14</v>
      </c>
      <c r="L58" s="7" t="s">
        <v>19</v>
      </c>
      <c r="M58" s="42">
        <v>408.14</v>
      </c>
      <c r="N58" s="7" t="s">
        <v>20</v>
      </c>
    </row>
    <row r="59" spans="1:14" x14ac:dyDescent="0.3">
      <c r="A59" s="5">
        <v>1058</v>
      </c>
      <c r="B59" s="6">
        <v>45780</v>
      </c>
      <c r="C59" s="7" t="s">
        <v>21</v>
      </c>
      <c r="D59" s="7" t="s">
        <v>30</v>
      </c>
      <c r="E59" s="7" t="s">
        <v>23</v>
      </c>
      <c r="F59" s="7" t="s">
        <v>40</v>
      </c>
      <c r="G59" s="7" t="s">
        <v>25</v>
      </c>
      <c r="H59" s="42">
        <v>617.79</v>
      </c>
      <c r="I59" s="8">
        <v>0.08</v>
      </c>
      <c r="J59" s="42">
        <v>49.42</v>
      </c>
      <c r="K59" s="42">
        <v>667.21</v>
      </c>
      <c r="L59" s="7" t="s">
        <v>19</v>
      </c>
      <c r="M59" s="42">
        <v>667.21</v>
      </c>
      <c r="N59" s="7" t="s">
        <v>20</v>
      </c>
    </row>
    <row r="60" spans="1:14" x14ac:dyDescent="0.3">
      <c r="A60" s="5">
        <v>1063</v>
      </c>
      <c r="B60" s="6">
        <v>45781</v>
      </c>
      <c r="C60" s="7" t="s">
        <v>14</v>
      </c>
      <c r="D60" s="7" t="s">
        <v>36</v>
      </c>
      <c r="E60" s="7" t="s">
        <v>37</v>
      </c>
      <c r="F60" s="7" t="s">
        <v>38</v>
      </c>
      <c r="G60" s="7" t="s">
        <v>25</v>
      </c>
      <c r="H60" s="42">
        <v>1200</v>
      </c>
      <c r="I60" s="8">
        <v>0</v>
      </c>
      <c r="J60" s="42">
        <v>0</v>
      </c>
      <c r="K60" s="42">
        <v>1200</v>
      </c>
      <c r="L60" s="7" t="s">
        <v>19</v>
      </c>
      <c r="M60" s="42">
        <v>-1200</v>
      </c>
      <c r="N60" s="7" t="s">
        <v>20</v>
      </c>
    </row>
    <row r="61" spans="1:14" x14ac:dyDescent="0.3">
      <c r="A61" s="5">
        <v>1068</v>
      </c>
      <c r="B61" s="6">
        <v>45781</v>
      </c>
      <c r="C61" s="7" t="s">
        <v>14</v>
      </c>
      <c r="D61" s="7" t="s">
        <v>32</v>
      </c>
      <c r="E61" s="7" t="s">
        <v>33</v>
      </c>
      <c r="F61" s="7" t="s">
        <v>34</v>
      </c>
      <c r="G61" s="7" t="s">
        <v>25</v>
      </c>
      <c r="H61" s="42">
        <v>67.27</v>
      </c>
      <c r="I61" s="8">
        <v>0.08</v>
      </c>
      <c r="J61" s="42">
        <v>5.38</v>
      </c>
      <c r="K61" s="42">
        <v>72.650000000000006</v>
      </c>
      <c r="L61" s="7" t="s">
        <v>19</v>
      </c>
      <c r="M61" s="42">
        <v>-72.650000000000006</v>
      </c>
      <c r="N61" s="7" t="s">
        <v>20</v>
      </c>
    </row>
    <row r="62" spans="1:14" x14ac:dyDescent="0.3">
      <c r="A62" s="5">
        <v>1064</v>
      </c>
      <c r="B62" s="6">
        <v>45788</v>
      </c>
      <c r="C62" s="7" t="s">
        <v>14</v>
      </c>
      <c r="D62" s="7" t="s">
        <v>41</v>
      </c>
      <c r="E62" s="7" t="s">
        <v>42</v>
      </c>
      <c r="F62" s="7" t="s">
        <v>43</v>
      </c>
      <c r="G62" s="7" t="s">
        <v>25</v>
      </c>
      <c r="H62" s="42">
        <v>169.74</v>
      </c>
      <c r="I62" s="8">
        <v>0.08</v>
      </c>
      <c r="J62" s="42">
        <v>13.58</v>
      </c>
      <c r="K62" s="42">
        <v>183.32</v>
      </c>
      <c r="L62" s="7" t="s">
        <v>19</v>
      </c>
      <c r="M62" s="42">
        <v>-183.32</v>
      </c>
      <c r="N62" s="7" t="s">
        <v>20</v>
      </c>
    </row>
    <row r="63" spans="1:14" x14ac:dyDescent="0.3">
      <c r="A63" s="5">
        <v>1065</v>
      </c>
      <c r="B63" s="6">
        <v>45794</v>
      </c>
      <c r="C63" s="7" t="s">
        <v>14</v>
      </c>
      <c r="D63" s="7" t="s">
        <v>51</v>
      </c>
      <c r="E63" s="7" t="s">
        <v>52</v>
      </c>
      <c r="F63" s="7" t="s">
        <v>53</v>
      </c>
      <c r="G63" s="7" t="s">
        <v>18</v>
      </c>
      <c r="H63" s="42">
        <v>369.09</v>
      </c>
      <c r="I63" s="8">
        <v>0.08</v>
      </c>
      <c r="J63" s="42">
        <v>29.53</v>
      </c>
      <c r="K63" s="42">
        <v>398.62</v>
      </c>
      <c r="L63" s="7" t="s">
        <v>44</v>
      </c>
      <c r="M63" s="42">
        <v>0</v>
      </c>
      <c r="N63" s="7" t="s">
        <v>20</v>
      </c>
    </row>
    <row r="64" spans="1:14" x14ac:dyDescent="0.3">
      <c r="A64" s="5">
        <v>1067</v>
      </c>
      <c r="B64" s="6">
        <v>45794</v>
      </c>
      <c r="C64" s="7" t="s">
        <v>14</v>
      </c>
      <c r="D64" s="7" t="s">
        <v>15</v>
      </c>
      <c r="E64" s="7" t="s">
        <v>16</v>
      </c>
      <c r="F64" s="7" t="s">
        <v>17</v>
      </c>
      <c r="G64" s="7" t="s">
        <v>39</v>
      </c>
      <c r="H64" s="42">
        <v>138.52000000000001</v>
      </c>
      <c r="I64" s="8">
        <v>0.08</v>
      </c>
      <c r="J64" s="42">
        <v>11.08</v>
      </c>
      <c r="K64" s="42">
        <v>149.6</v>
      </c>
      <c r="L64" s="7" t="s">
        <v>19</v>
      </c>
      <c r="M64" s="42">
        <v>-149.6</v>
      </c>
      <c r="N64" s="7" t="s">
        <v>20</v>
      </c>
    </row>
    <row r="65" spans="1:14" x14ac:dyDescent="0.3">
      <c r="A65" s="5">
        <v>1057</v>
      </c>
      <c r="B65" s="6">
        <v>45794</v>
      </c>
      <c r="C65" s="7" t="s">
        <v>21</v>
      </c>
      <c r="D65" s="7" t="s">
        <v>26</v>
      </c>
      <c r="E65" s="7" t="s">
        <v>27</v>
      </c>
      <c r="F65" s="7" t="s">
        <v>35</v>
      </c>
      <c r="G65" s="7" t="s">
        <v>25</v>
      </c>
      <c r="H65" s="42">
        <v>244.75</v>
      </c>
      <c r="I65" s="8">
        <v>0.08</v>
      </c>
      <c r="J65" s="42">
        <v>19.579999999999998</v>
      </c>
      <c r="K65" s="42">
        <v>264.33</v>
      </c>
      <c r="L65" s="7" t="s">
        <v>19</v>
      </c>
      <c r="M65" s="42">
        <v>264.33</v>
      </c>
      <c r="N65" s="7" t="s">
        <v>20</v>
      </c>
    </row>
    <row r="66" spans="1:14" x14ac:dyDescent="0.3">
      <c r="A66" s="5">
        <v>1070</v>
      </c>
      <c r="B66" s="6">
        <v>45796</v>
      </c>
      <c r="C66" s="7" t="s">
        <v>14</v>
      </c>
      <c r="D66" s="7" t="s">
        <v>45</v>
      </c>
      <c r="E66" s="7" t="s">
        <v>46</v>
      </c>
      <c r="F66" s="7" t="s">
        <v>47</v>
      </c>
      <c r="G66" s="7" t="s">
        <v>39</v>
      </c>
      <c r="H66" s="42">
        <v>180</v>
      </c>
      <c r="I66" s="8">
        <v>0</v>
      </c>
      <c r="J66" s="42">
        <v>0</v>
      </c>
      <c r="K66" s="42">
        <v>180</v>
      </c>
      <c r="L66" s="7" t="s">
        <v>19</v>
      </c>
      <c r="M66" s="42">
        <v>-180</v>
      </c>
      <c r="N66" s="7" t="s">
        <v>20</v>
      </c>
    </row>
    <row r="67" spans="1:14" x14ac:dyDescent="0.3">
      <c r="A67" s="5">
        <v>1062</v>
      </c>
      <c r="B67" s="6">
        <v>45797</v>
      </c>
      <c r="C67" s="7" t="s">
        <v>21</v>
      </c>
      <c r="D67" s="7" t="s">
        <v>26</v>
      </c>
      <c r="E67" s="7" t="s">
        <v>27</v>
      </c>
      <c r="F67" s="7" t="s">
        <v>24</v>
      </c>
      <c r="G67" s="7" t="s">
        <v>18</v>
      </c>
      <c r="H67" s="42">
        <v>417.21</v>
      </c>
      <c r="I67" s="8">
        <v>0.08</v>
      </c>
      <c r="J67" s="42">
        <v>33.380000000000003</v>
      </c>
      <c r="K67" s="42">
        <v>450.59</v>
      </c>
      <c r="L67" s="7" t="s">
        <v>19</v>
      </c>
      <c r="M67" s="42">
        <v>450.59</v>
      </c>
      <c r="N67" s="7" t="s">
        <v>20</v>
      </c>
    </row>
    <row r="68" spans="1:14" x14ac:dyDescent="0.3">
      <c r="A68" s="5">
        <v>1066</v>
      </c>
      <c r="B68" s="6">
        <v>45797</v>
      </c>
      <c r="C68" s="7" t="s">
        <v>14</v>
      </c>
      <c r="D68" s="7" t="s">
        <v>54</v>
      </c>
      <c r="E68" s="7" t="s">
        <v>55</v>
      </c>
      <c r="F68" s="7" t="s">
        <v>56</v>
      </c>
      <c r="G68" s="7" t="s">
        <v>25</v>
      </c>
      <c r="H68" s="42">
        <v>189.52</v>
      </c>
      <c r="I68" s="8">
        <v>0</v>
      </c>
      <c r="J68" s="42">
        <v>0</v>
      </c>
      <c r="K68" s="42">
        <v>189.52</v>
      </c>
      <c r="L68" s="7" t="s">
        <v>44</v>
      </c>
      <c r="M68" s="42">
        <v>0</v>
      </c>
      <c r="N68" s="7" t="s">
        <v>20</v>
      </c>
    </row>
    <row r="69" spans="1:14" x14ac:dyDescent="0.3">
      <c r="A69" s="5">
        <v>1061</v>
      </c>
      <c r="B69" s="6">
        <v>45798</v>
      </c>
      <c r="C69" s="7" t="s">
        <v>21</v>
      </c>
      <c r="D69" s="7" t="s">
        <v>26</v>
      </c>
      <c r="E69" s="7" t="s">
        <v>27</v>
      </c>
      <c r="F69" s="7" t="s">
        <v>57</v>
      </c>
      <c r="G69" s="7" t="s">
        <v>59</v>
      </c>
      <c r="H69" s="42">
        <v>253.17</v>
      </c>
      <c r="I69" s="8">
        <v>0.08</v>
      </c>
      <c r="J69" s="42">
        <v>20.25</v>
      </c>
      <c r="K69" s="42">
        <v>273.42</v>
      </c>
      <c r="L69" s="7" t="s">
        <v>19</v>
      </c>
      <c r="M69" s="42">
        <v>273.42</v>
      </c>
      <c r="N69" s="7" t="s">
        <v>20</v>
      </c>
    </row>
    <row r="70" spans="1:14" x14ac:dyDescent="0.3">
      <c r="A70" s="5">
        <v>1069</v>
      </c>
      <c r="B70" s="6">
        <v>45800</v>
      </c>
      <c r="C70" s="7" t="s">
        <v>14</v>
      </c>
      <c r="D70" s="7" t="s">
        <v>48</v>
      </c>
      <c r="E70" s="7" t="s">
        <v>49</v>
      </c>
      <c r="F70" s="7" t="s">
        <v>50</v>
      </c>
      <c r="G70" s="7" t="s">
        <v>25</v>
      </c>
      <c r="H70" s="42">
        <v>131.72999999999999</v>
      </c>
      <c r="I70" s="8">
        <v>0</v>
      </c>
      <c r="J70" s="42">
        <v>0</v>
      </c>
      <c r="K70" s="42">
        <v>131.72999999999999</v>
      </c>
      <c r="L70" s="7" t="s">
        <v>44</v>
      </c>
      <c r="M70" s="42">
        <v>0</v>
      </c>
      <c r="N70" s="7" t="s">
        <v>20</v>
      </c>
    </row>
    <row r="71" spans="1:14" x14ac:dyDescent="0.3">
      <c r="A71" s="5">
        <v>1060</v>
      </c>
      <c r="B71" s="6">
        <v>45800</v>
      </c>
      <c r="C71" s="7" t="s">
        <v>21</v>
      </c>
      <c r="D71" s="7" t="s">
        <v>22</v>
      </c>
      <c r="E71" s="7" t="s">
        <v>23</v>
      </c>
      <c r="F71" s="7" t="s">
        <v>28</v>
      </c>
      <c r="G71" s="7" t="s">
        <v>59</v>
      </c>
      <c r="H71" s="42">
        <v>767.23</v>
      </c>
      <c r="I71" s="8">
        <v>0.08</v>
      </c>
      <c r="J71" s="42">
        <v>61.38</v>
      </c>
      <c r="K71" s="42">
        <v>828.61</v>
      </c>
      <c r="L71" s="7" t="s">
        <v>19</v>
      </c>
      <c r="M71" s="42">
        <v>828.61</v>
      </c>
      <c r="N71" s="7" t="s">
        <v>20</v>
      </c>
    </row>
    <row r="72" spans="1:14" x14ac:dyDescent="0.3">
      <c r="A72" s="5">
        <v>1076</v>
      </c>
      <c r="B72" s="6">
        <v>45810</v>
      </c>
      <c r="C72" s="7" t="s">
        <v>21</v>
      </c>
      <c r="D72" s="7" t="s">
        <v>22</v>
      </c>
      <c r="E72" s="7" t="s">
        <v>23</v>
      </c>
      <c r="F72" s="7" t="s">
        <v>28</v>
      </c>
      <c r="G72" s="7" t="s">
        <v>18</v>
      </c>
      <c r="H72" s="42">
        <v>662.98</v>
      </c>
      <c r="I72" s="8">
        <v>0.08</v>
      </c>
      <c r="J72" s="42">
        <v>53.04</v>
      </c>
      <c r="K72" s="42">
        <v>716.02</v>
      </c>
      <c r="L72" s="7" t="s">
        <v>19</v>
      </c>
      <c r="M72" s="42">
        <v>716.02</v>
      </c>
      <c r="N72" s="7" t="s">
        <v>20</v>
      </c>
    </row>
    <row r="73" spans="1:14" x14ac:dyDescent="0.3">
      <c r="A73" s="5">
        <v>1082</v>
      </c>
      <c r="B73" s="6">
        <v>45811</v>
      </c>
      <c r="C73" s="7" t="s">
        <v>14</v>
      </c>
      <c r="D73" s="7" t="s">
        <v>32</v>
      </c>
      <c r="E73" s="7" t="s">
        <v>33</v>
      </c>
      <c r="F73" s="7" t="s">
        <v>34</v>
      </c>
      <c r="G73" s="7" t="s">
        <v>25</v>
      </c>
      <c r="H73" s="42">
        <v>214.29</v>
      </c>
      <c r="I73" s="8">
        <v>0.08</v>
      </c>
      <c r="J73" s="42">
        <v>17.14</v>
      </c>
      <c r="K73" s="42">
        <v>231.43</v>
      </c>
      <c r="L73" s="7" t="s">
        <v>19</v>
      </c>
      <c r="M73" s="42">
        <v>-231.43</v>
      </c>
      <c r="N73" s="7" t="s">
        <v>20</v>
      </c>
    </row>
    <row r="74" spans="1:14" x14ac:dyDescent="0.3">
      <c r="A74" s="5">
        <v>1074</v>
      </c>
      <c r="B74" s="6">
        <v>45812</v>
      </c>
      <c r="C74" s="7" t="s">
        <v>21</v>
      </c>
      <c r="D74" s="7" t="s">
        <v>26</v>
      </c>
      <c r="E74" s="7" t="s">
        <v>27</v>
      </c>
      <c r="F74" s="7" t="s">
        <v>31</v>
      </c>
      <c r="G74" s="7" t="s">
        <v>25</v>
      </c>
      <c r="H74" s="42">
        <v>165.01</v>
      </c>
      <c r="I74" s="8">
        <v>0.08</v>
      </c>
      <c r="J74" s="42">
        <v>13.2</v>
      </c>
      <c r="K74" s="42">
        <v>178.21</v>
      </c>
      <c r="L74" s="7" t="s">
        <v>19</v>
      </c>
      <c r="M74" s="42">
        <v>178.21</v>
      </c>
      <c r="N74" s="7" t="s">
        <v>20</v>
      </c>
    </row>
    <row r="75" spans="1:14" x14ac:dyDescent="0.3">
      <c r="A75" s="5">
        <v>1075</v>
      </c>
      <c r="B75" s="6">
        <v>45813</v>
      </c>
      <c r="C75" s="7" t="s">
        <v>21</v>
      </c>
      <c r="D75" s="7" t="s">
        <v>22</v>
      </c>
      <c r="E75" s="7" t="s">
        <v>23</v>
      </c>
      <c r="F75" s="7" t="s">
        <v>31</v>
      </c>
      <c r="G75" s="7" t="s">
        <v>25</v>
      </c>
      <c r="H75" s="42">
        <v>521.37</v>
      </c>
      <c r="I75" s="8">
        <v>0.08</v>
      </c>
      <c r="J75" s="42">
        <v>41.71</v>
      </c>
      <c r="K75" s="42">
        <v>563.08000000000004</v>
      </c>
      <c r="L75" s="7" t="s">
        <v>44</v>
      </c>
      <c r="M75" s="42">
        <v>0</v>
      </c>
      <c r="N75" s="7" t="s">
        <v>20</v>
      </c>
    </row>
    <row r="76" spans="1:14" x14ac:dyDescent="0.3">
      <c r="A76" s="5">
        <v>1079</v>
      </c>
      <c r="B76" s="6">
        <v>45813</v>
      </c>
      <c r="C76" s="7" t="s">
        <v>14</v>
      </c>
      <c r="D76" s="7" t="s">
        <v>51</v>
      </c>
      <c r="E76" s="7" t="s">
        <v>52</v>
      </c>
      <c r="F76" s="7" t="s">
        <v>53</v>
      </c>
      <c r="G76" s="7" t="s">
        <v>25</v>
      </c>
      <c r="H76" s="42">
        <v>582.29999999999995</v>
      </c>
      <c r="I76" s="8">
        <v>0.08</v>
      </c>
      <c r="J76" s="42">
        <v>46.58</v>
      </c>
      <c r="K76" s="42">
        <v>628.88</v>
      </c>
      <c r="L76" s="7" t="s">
        <v>19</v>
      </c>
      <c r="M76" s="42">
        <v>-628.88</v>
      </c>
      <c r="N76" s="7" t="s">
        <v>20</v>
      </c>
    </row>
    <row r="77" spans="1:14" x14ac:dyDescent="0.3">
      <c r="A77" s="5">
        <v>1081</v>
      </c>
      <c r="B77" s="6">
        <v>45815</v>
      </c>
      <c r="C77" s="7" t="s">
        <v>14</v>
      </c>
      <c r="D77" s="7" t="s">
        <v>15</v>
      </c>
      <c r="E77" s="7" t="s">
        <v>16</v>
      </c>
      <c r="F77" s="7" t="s">
        <v>17</v>
      </c>
      <c r="G77" s="7" t="s">
        <v>25</v>
      </c>
      <c r="H77" s="42">
        <v>168.93</v>
      </c>
      <c r="I77" s="8">
        <v>0.08</v>
      </c>
      <c r="J77" s="42">
        <v>13.51</v>
      </c>
      <c r="K77" s="42">
        <v>182.44</v>
      </c>
      <c r="L77" s="7" t="s">
        <v>19</v>
      </c>
      <c r="M77" s="42">
        <v>-182.44</v>
      </c>
      <c r="N77" s="7" t="s">
        <v>20</v>
      </c>
    </row>
    <row r="78" spans="1:14" x14ac:dyDescent="0.3">
      <c r="A78" s="5">
        <v>1083</v>
      </c>
      <c r="B78" s="6">
        <v>45815</v>
      </c>
      <c r="C78" s="7" t="s">
        <v>14</v>
      </c>
      <c r="D78" s="7" t="s">
        <v>48</v>
      </c>
      <c r="E78" s="7" t="s">
        <v>49</v>
      </c>
      <c r="F78" s="7" t="s">
        <v>50</v>
      </c>
      <c r="G78" s="7" t="s">
        <v>18</v>
      </c>
      <c r="H78" s="42">
        <v>129.38999999999999</v>
      </c>
      <c r="I78" s="8">
        <v>0</v>
      </c>
      <c r="J78" s="42">
        <v>0</v>
      </c>
      <c r="K78" s="42">
        <v>129.38999999999999</v>
      </c>
      <c r="L78" s="7" t="s">
        <v>19</v>
      </c>
      <c r="M78" s="42">
        <v>-129.38999999999999</v>
      </c>
      <c r="N78" s="7" t="s">
        <v>20</v>
      </c>
    </row>
    <row r="79" spans="1:14" x14ac:dyDescent="0.3">
      <c r="A79" s="5">
        <v>1084</v>
      </c>
      <c r="B79" s="6">
        <v>45815</v>
      </c>
      <c r="C79" s="7" t="s">
        <v>14</v>
      </c>
      <c r="D79" s="7" t="s">
        <v>45</v>
      </c>
      <c r="E79" s="7" t="s">
        <v>46</v>
      </c>
      <c r="F79" s="7" t="s">
        <v>47</v>
      </c>
      <c r="G79" s="7" t="s">
        <v>25</v>
      </c>
      <c r="H79" s="42">
        <v>180</v>
      </c>
      <c r="I79" s="8">
        <v>0</v>
      </c>
      <c r="J79" s="42">
        <v>0</v>
      </c>
      <c r="K79" s="42">
        <v>180</v>
      </c>
      <c r="L79" s="7" t="s">
        <v>19</v>
      </c>
      <c r="M79" s="42">
        <v>-180</v>
      </c>
      <c r="N79" s="7" t="s">
        <v>20</v>
      </c>
    </row>
    <row r="80" spans="1:14" x14ac:dyDescent="0.3">
      <c r="A80" s="5">
        <v>1080</v>
      </c>
      <c r="B80" s="6">
        <v>45818</v>
      </c>
      <c r="C80" s="7" t="s">
        <v>14</v>
      </c>
      <c r="D80" s="7" t="s">
        <v>54</v>
      </c>
      <c r="E80" s="7" t="s">
        <v>55</v>
      </c>
      <c r="F80" s="7" t="s">
        <v>56</v>
      </c>
      <c r="G80" s="7" t="s">
        <v>39</v>
      </c>
      <c r="H80" s="42">
        <v>133.32</v>
      </c>
      <c r="I80" s="8">
        <v>0</v>
      </c>
      <c r="J80" s="42">
        <v>0</v>
      </c>
      <c r="K80" s="42">
        <v>133.32</v>
      </c>
      <c r="L80" s="7" t="s">
        <v>19</v>
      </c>
      <c r="M80" s="42">
        <v>-133.32</v>
      </c>
      <c r="N80" s="7" t="s">
        <v>20</v>
      </c>
    </row>
    <row r="81" spans="1:14" x14ac:dyDescent="0.3">
      <c r="A81" s="5">
        <v>1077</v>
      </c>
      <c r="B81" s="6">
        <v>45819</v>
      </c>
      <c r="C81" s="7" t="s">
        <v>14</v>
      </c>
      <c r="D81" s="7" t="s">
        <v>36</v>
      </c>
      <c r="E81" s="7" t="s">
        <v>37</v>
      </c>
      <c r="F81" s="7" t="s">
        <v>38</v>
      </c>
      <c r="G81" s="7" t="s">
        <v>18</v>
      </c>
      <c r="H81" s="42">
        <v>1200</v>
      </c>
      <c r="I81" s="8">
        <v>0</v>
      </c>
      <c r="J81" s="42">
        <v>0</v>
      </c>
      <c r="K81" s="42">
        <v>1200</v>
      </c>
      <c r="L81" s="7" t="s">
        <v>44</v>
      </c>
      <c r="M81" s="42">
        <v>0</v>
      </c>
      <c r="N81" s="7" t="s">
        <v>20</v>
      </c>
    </row>
    <row r="82" spans="1:14" x14ac:dyDescent="0.3">
      <c r="A82" s="5">
        <v>1072</v>
      </c>
      <c r="B82" s="6">
        <v>45822</v>
      </c>
      <c r="C82" s="7" t="s">
        <v>21</v>
      </c>
      <c r="D82" s="7" t="s">
        <v>26</v>
      </c>
      <c r="E82" s="7" t="s">
        <v>27</v>
      </c>
      <c r="F82" s="7" t="s">
        <v>35</v>
      </c>
      <c r="G82" s="7" t="s">
        <v>25</v>
      </c>
      <c r="H82" s="42">
        <v>392.31</v>
      </c>
      <c r="I82" s="8">
        <v>0.08</v>
      </c>
      <c r="J82" s="42">
        <v>31.38</v>
      </c>
      <c r="K82" s="42">
        <v>423.69</v>
      </c>
      <c r="L82" s="7" t="s">
        <v>19</v>
      </c>
      <c r="M82" s="42">
        <v>423.69</v>
      </c>
      <c r="N82" s="7" t="s">
        <v>20</v>
      </c>
    </row>
    <row r="83" spans="1:14" x14ac:dyDescent="0.3">
      <c r="A83" s="5">
        <v>1073</v>
      </c>
      <c r="B83" s="6">
        <v>45829</v>
      </c>
      <c r="C83" s="7" t="s">
        <v>21</v>
      </c>
      <c r="D83" s="7" t="s">
        <v>22</v>
      </c>
      <c r="E83" s="7" t="s">
        <v>23</v>
      </c>
      <c r="F83" s="7" t="s">
        <v>31</v>
      </c>
      <c r="G83" s="7" t="s">
        <v>29</v>
      </c>
      <c r="H83" s="42">
        <v>398.77</v>
      </c>
      <c r="I83" s="8">
        <v>0.08</v>
      </c>
      <c r="J83" s="42">
        <v>31.9</v>
      </c>
      <c r="K83" s="42">
        <v>430.67</v>
      </c>
      <c r="L83" s="7" t="s">
        <v>19</v>
      </c>
      <c r="M83" s="42">
        <v>430.67</v>
      </c>
      <c r="N83" s="7" t="s">
        <v>20</v>
      </c>
    </row>
    <row r="84" spans="1:14" x14ac:dyDescent="0.3">
      <c r="A84" s="5">
        <v>1071</v>
      </c>
      <c r="B84" s="6">
        <v>45829</v>
      </c>
      <c r="C84" s="7" t="s">
        <v>21</v>
      </c>
      <c r="D84" s="7" t="s">
        <v>22</v>
      </c>
      <c r="E84" s="7" t="s">
        <v>23</v>
      </c>
      <c r="F84" s="7" t="s">
        <v>57</v>
      </c>
      <c r="G84" s="7" t="s">
        <v>59</v>
      </c>
      <c r="H84" s="42">
        <v>767.66</v>
      </c>
      <c r="I84" s="8">
        <v>0.08</v>
      </c>
      <c r="J84" s="42">
        <v>61.41</v>
      </c>
      <c r="K84" s="42">
        <v>829.07</v>
      </c>
      <c r="L84" s="7" t="s">
        <v>19</v>
      </c>
      <c r="M84" s="42">
        <v>829.07</v>
      </c>
      <c r="N84" s="7" t="s">
        <v>20</v>
      </c>
    </row>
    <row r="85" spans="1:14" x14ac:dyDescent="0.3">
      <c r="A85" s="5">
        <v>1078</v>
      </c>
      <c r="B85" s="6">
        <v>45831</v>
      </c>
      <c r="C85" s="7" t="s">
        <v>14</v>
      </c>
      <c r="D85" s="7" t="s">
        <v>41</v>
      </c>
      <c r="E85" s="7" t="s">
        <v>42</v>
      </c>
      <c r="F85" s="7" t="s">
        <v>43</v>
      </c>
      <c r="G85" s="7" t="s">
        <v>25</v>
      </c>
      <c r="H85" s="42">
        <v>177.78</v>
      </c>
      <c r="I85" s="8">
        <v>0.08</v>
      </c>
      <c r="J85" s="42">
        <v>14.22</v>
      </c>
      <c r="K85" s="42">
        <v>192</v>
      </c>
      <c r="L85" s="7" t="s">
        <v>19</v>
      </c>
      <c r="M85" s="42">
        <v>-192</v>
      </c>
      <c r="N85" s="7" t="s">
        <v>20</v>
      </c>
    </row>
    <row r="86" spans="1:14" x14ac:dyDescent="0.3">
      <c r="A86" s="5">
        <v>1096</v>
      </c>
      <c r="B86" s="6">
        <v>45838</v>
      </c>
      <c r="C86" s="7" t="s">
        <v>14</v>
      </c>
      <c r="D86" s="7" t="s">
        <v>32</v>
      </c>
      <c r="E86" s="7" t="s">
        <v>33</v>
      </c>
      <c r="F86" s="7" t="s">
        <v>34</v>
      </c>
      <c r="G86" s="7" t="s">
        <v>18</v>
      </c>
      <c r="H86" s="42">
        <v>132.31</v>
      </c>
      <c r="I86" s="8">
        <v>0.08</v>
      </c>
      <c r="J86" s="42">
        <v>10.58</v>
      </c>
      <c r="K86" s="42">
        <v>142.88999999999999</v>
      </c>
      <c r="L86" s="7" t="s">
        <v>19</v>
      </c>
      <c r="M86" s="42">
        <v>-142.88999999999999</v>
      </c>
      <c r="N86" s="7" t="s">
        <v>20</v>
      </c>
    </row>
    <row r="87" spans="1:14" x14ac:dyDescent="0.3">
      <c r="A87" s="5">
        <v>1093</v>
      </c>
      <c r="B87" s="6">
        <v>45842</v>
      </c>
      <c r="C87" s="7" t="s">
        <v>14</v>
      </c>
      <c r="D87" s="7" t="s">
        <v>51</v>
      </c>
      <c r="E87" s="7" t="s">
        <v>52</v>
      </c>
      <c r="F87" s="7" t="s">
        <v>53</v>
      </c>
      <c r="G87" s="7" t="s">
        <v>18</v>
      </c>
      <c r="H87" s="42">
        <v>297.83</v>
      </c>
      <c r="I87" s="8">
        <v>0.08</v>
      </c>
      <c r="J87" s="42">
        <v>23.83</v>
      </c>
      <c r="K87" s="42">
        <v>321.66000000000003</v>
      </c>
      <c r="L87" s="7" t="s">
        <v>19</v>
      </c>
      <c r="M87" s="42">
        <v>-321.66000000000003</v>
      </c>
      <c r="N87" s="7" t="s">
        <v>20</v>
      </c>
    </row>
    <row r="88" spans="1:14" x14ac:dyDescent="0.3">
      <c r="A88" s="5">
        <v>1085</v>
      </c>
      <c r="B88" s="6">
        <v>45847</v>
      </c>
      <c r="C88" s="7" t="s">
        <v>21</v>
      </c>
      <c r="D88" s="7" t="s">
        <v>30</v>
      </c>
      <c r="E88" s="7" t="s">
        <v>23</v>
      </c>
      <c r="F88" s="7" t="s">
        <v>58</v>
      </c>
      <c r="G88" s="7" t="s">
        <v>59</v>
      </c>
      <c r="H88" s="42">
        <v>462.72</v>
      </c>
      <c r="I88" s="8">
        <v>0.08</v>
      </c>
      <c r="J88" s="42">
        <v>37.020000000000003</v>
      </c>
      <c r="K88" s="42">
        <v>499.74</v>
      </c>
      <c r="L88" s="7" t="s">
        <v>19</v>
      </c>
      <c r="M88" s="42">
        <v>499.74</v>
      </c>
      <c r="N88" s="7" t="s">
        <v>20</v>
      </c>
    </row>
    <row r="89" spans="1:14" x14ac:dyDescent="0.3">
      <c r="A89" s="5">
        <v>1087</v>
      </c>
      <c r="B89" s="6">
        <v>45847</v>
      </c>
      <c r="C89" s="7" t="s">
        <v>21</v>
      </c>
      <c r="D89" s="7" t="s">
        <v>22</v>
      </c>
      <c r="E89" s="7" t="s">
        <v>23</v>
      </c>
      <c r="F89" s="7" t="s">
        <v>24</v>
      </c>
      <c r="G89" s="7" t="s">
        <v>29</v>
      </c>
      <c r="H89" s="42">
        <v>783.93</v>
      </c>
      <c r="I89" s="8">
        <v>0.08</v>
      </c>
      <c r="J89" s="42">
        <v>62.71</v>
      </c>
      <c r="K89" s="42">
        <v>846.64</v>
      </c>
      <c r="L89" s="7" t="s">
        <v>19</v>
      </c>
      <c r="M89" s="42">
        <v>846.64</v>
      </c>
      <c r="N89" s="7" t="s">
        <v>20</v>
      </c>
    </row>
    <row r="90" spans="1:14" x14ac:dyDescent="0.3">
      <c r="A90" s="5">
        <v>1091</v>
      </c>
      <c r="B90" s="6">
        <v>45847</v>
      </c>
      <c r="C90" s="7" t="s">
        <v>14</v>
      </c>
      <c r="D90" s="7" t="s">
        <v>36</v>
      </c>
      <c r="E90" s="7" t="s">
        <v>37</v>
      </c>
      <c r="F90" s="7" t="s">
        <v>38</v>
      </c>
      <c r="G90" s="7" t="s">
        <v>18</v>
      </c>
      <c r="H90" s="42">
        <v>1200</v>
      </c>
      <c r="I90" s="8">
        <v>0</v>
      </c>
      <c r="J90" s="42">
        <v>0</v>
      </c>
      <c r="K90" s="42">
        <v>1200</v>
      </c>
      <c r="L90" s="7" t="s">
        <v>44</v>
      </c>
      <c r="M90" s="42">
        <v>0</v>
      </c>
      <c r="N90" s="7" t="s">
        <v>20</v>
      </c>
    </row>
    <row r="91" spans="1:14" x14ac:dyDescent="0.3">
      <c r="A91" s="5">
        <v>1092</v>
      </c>
      <c r="B91" s="6">
        <v>45848</v>
      </c>
      <c r="C91" s="7" t="s">
        <v>14</v>
      </c>
      <c r="D91" s="7" t="s">
        <v>41</v>
      </c>
      <c r="E91" s="7" t="s">
        <v>42</v>
      </c>
      <c r="F91" s="7" t="s">
        <v>43</v>
      </c>
      <c r="G91" s="7" t="s">
        <v>39</v>
      </c>
      <c r="H91" s="42">
        <v>151.69</v>
      </c>
      <c r="I91" s="8">
        <v>0.08</v>
      </c>
      <c r="J91" s="42">
        <v>12.14</v>
      </c>
      <c r="K91" s="42">
        <v>163.83000000000001</v>
      </c>
      <c r="L91" s="7" t="s">
        <v>19</v>
      </c>
      <c r="M91" s="42">
        <v>-163.83000000000001</v>
      </c>
      <c r="N91" s="7" t="s">
        <v>20</v>
      </c>
    </row>
    <row r="92" spans="1:14" x14ac:dyDescent="0.3">
      <c r="A92" s="5">
        <v>1088</v>
      </c>
      <c r="B92" s="6">
        <v>45849</v>
      </c>
      <c r="C92" s="7" t="s">
        <v>21</v>
      </c>
      <c r="D92" s="7" t="s">
        <v>22</v>
      </c>
      <c r="E92" s="7" t="s">
        <v>23</v>
      </c>
      <c r="F92" s="7" t="s">
        <v>24</v>
      </c>
      <c r="G92" s="7" t="s">
        <v>29</v>
      </c>
      <c r="H92" s="42">
        <v>426.45</v>
      </c>
      <c r="I92" s="8">
        <v>0.08</v>
      </c>
      <c r="J92" s="42">
        <v>34.119999999999997</v>
      </c>
      <c r="K92" s="42">
        <v>460.57</v>
      </c>
      <c r="L92" s="7" t="s">
        <v>44</v>
      </c>
      <c r="M92" s="42">
        <v>0</v>
      </c>
      <c r="N92" s="7" t="s">
        <v>20</v>
      </c>
    </row>
    <row r="93" spans="1:14" x14ac:dyDescent="0.3">
      <c r="A93" s="5">
        <v>1094</v>
      </c>
      <c r="B93" s="6">
        <v>45850</v>
      </c>
      <c r="C93" s="7" t="s">
        <v>14</v>
      </c>
      <c r="D93" s="7" t="s">
        <v>54</v>
      </c>
      <c r="E93" s="7" t="s">
        <v>55</v>
      </c>
      <c r="F93" s="7" t="s">
        <v>56</v>
      </c>
      <c r="G93" s="7" t="s">
        <v>39</v>
      </c>
      <c r="H93" s="42">
        <v>196.44</v>
      </c>
      <c r="I93" s="8">
        <v>0</v>
      </c>
      <c r="J93" s="42">
        <v>0</v>
      </c>
      <c r="K93" s="42">
        <v>196.44</v>
      </c>
      <c r="L93" s="7" t="s">
        <v>44</v>
      </c>
      <c r="M93" s="42">
        <v>0</v>
      </c>
      <c r="N93" s="7" t="s">
        <v>20</v>
      </c>
    </row>
    <row r="94" spans="1:14" x14ac:dyDescent="0.3">
      <c r="A94" s="5">
        <v>1098</v>
      </c>
      <c r="B94" s="6">
        <v>45852</v>
      </c>
      <c r="C94" s="7" t="s">
        <v>14</v>
      </c>
      <c r="D94" s="7" t="s">
        <v>45</v>
      </c>
      <c r="E94" s="7" t="s">
        <v>46</v>
      </c>
      <c r="F94" s="7" t="s">
        <v>47</v>
      </c>
      <c r="G94" s="7" t="s">
        <v>39</v>
      </c>
      <c r="H94" s="42">
        <v>180</v>
      </c>
      <c r="I94" s="8">
        <v>0</v>
      </c>
      <c r="J94" s="42">
        <v>0</v>
      </c>
      <c r="K94" s="42">
        <v>180</v>
      </c>
      <c r="L94" s="7" t="s">
        <v>19</v>
      </c>
      <c r="M94" s="42">
        <v>-180</v>
      </c>
      <c r="N94" s="7" t="s">
        <v>20</v>
      </c>
    </row>
    <row r="95" spans="1:14" x14ac:dyDescent="0.3">
      <c r="A95" s="5">
        <v>1086</v>
      </c>
      <c r="B95" s="6">
        <v>45856</v>
      </c>
      <c r="C95" s="7" t="s">
        <v>21</v>
      </c>
      <c r="D95" s="7" t="s">
        <v>26</v>
      </c>
      <c r="E95" s="7" t="s">
        <v>27</v>
      </c>
      <c r="F95" s="7" t="s">
        <v>35</v>
      </c>
      <c r="G95" s="7" t="s">
        <v>25</v>
      </c>
      <c r="H95" s="42">
        <v>140.69999999999999</v>
      </c>
      <c r="I95" s="8">
        <v>0.08</v>
      </c>
      <c r="J95" s="42">
        <v>11.26</v>
      </c>
      <c r="K95" s="42">
        <v>151.96</v>
      </c>
      <c r="L95" s="7" t="s">
        <v>19</v>
      </c>
      <c r="M95" s="42">
        <v>151.96</v>
      </c>
      <c r="N95" s="7" t="s">
        <v>20</v>
      </c>
    </row>
    <row r="96" spans="1:14" x14ac:dyDescent="0.3">
      <c r="A96" s="5">
        <v>1097</v>
      </c>
      <c r="B96" s="6">
        <v>45856</v>
      </c>
      <c r="C96" s="7" t="s">
        <v>14</v>
      </c>
      <c r="D96" s="7" t="s">
        <v>48</v>
      </c>
      <c r="E96" s="7" t="s">
        <v>49</v>
      </c>
      <c r="F96" s="7" t="s">
        <v>50</v>
      </c>
      <c r="G96" s="7" t="s">
        <v>39</v>
      </c>
      <c r="H96" s="42">
        <v>80.760000000000005</v>
      </c>
      <c r="I96" s="8">
        <v>0</v>
      </c>
      <c r="J96" s="42">
        <v>0</v>
      </c>
      <c r="K96" s="42">
        <v>80.760000000000005</v>
      </c>
      <c r="L96" s="7" t="s">
        <v>44</v>
      </c>
      <c r="M96" s="42">
        <v>0</v>
      </c>
      <c r="N96" s="7" t="s">
        <v>20</v>
      </c>
    </row>
    <row r="97" spans="1:14" x14ac:dyDescent="0.3">
      <c r="A97" s="5">
        <v>1095</v>
      </c>
      <c r="B97" s="6">
        <v>45857</v>
      </c>
      <c r="C97" s="7" t="s">
        <v>14</v>
      </c>
      <c r="D97" s="7" t="s">
        <v>15</v>
      </c>
      <c r="E97" s="7" t="s">
        <v>16</v>
      </c>
      <c r="F97" s="7" t="s">
        <v>17</v>
      </c>
      <c r="G97" s="7" t="s">
        <v>18</v>
      </c>
      <c r="H97" s="42">
        <v>174.93</v>
      </c>
      <c r="I97" s="8">
        <v>0.08</v>
      </c>
      <c r="J97" s="42">
        <v>13.99</v>
      </c>
      <c r="K97" s="42">
        <v>188.92</v>
      </c>
      <c r="L97" s="7" t="s">
        <v>44</v>
      </c>
      <c r="M97" s="42">
        <v>0</v>
      </c>
      <c r="N97" s="7" t="s">
        <v>20</v>
      </c>
    </row>
    <row r="98" spans="1:14" x14ac:dyDescent="0.3">
      <c r="A98" s="5">
        <v>1090</v>
      </c>
      <c r="B98" s="6">
        <v>45860</v>
      </c>
      <c r="C98" s="7" t="s">
        <v>21</v>
      </c>
      <c r="D98" s="7" t="s">
        <v>22</v>
      </c>
      <c r="E98" s="7" t="s">
        <v>23</v>
      </c>
      <c r="F98" s="7" t="s">
        <v>60</v>
      </c>
      <c r="G98" s="7" t="s">
        <v>25</v>
      </c>
      <c r="H98" s="42">
        <v>619.66</v>
      </c>
      <c r="I98" s="8">
        <v>0.08</v>
      </c>
      <c r="J98" s="42">
        <v>49.57</v>
      </c>
      <c r="K98" s="42">
        <v>669.23</v>
      </c>
      <c r="L98" s="7" t="s">
        <v>19</v>
      </c>
      <c r="M98" s="42">
        <v>669.23</v>
      </c>
      <c r="N98" s="7" t="s">
        <v>20</v>
      </c>
    </row>
    <row r="99" spans="1:14" x14ac:dyDescent="0.3">
      <c r="A99" s="5">
        <v>1089</v>
      </c>
      <c r="B99" s="6">
        <v>45861</v>
      </c>
      <c r="C99" s="7" t="s">
        <v>21</v>
      </c>
      <c r="D99" s="7" t="s">
        <v>30</v>
      </c>
      <c r="E99" s="7" t="s">
        <v>23</v>
      </c>
      <c r="F99" s="7" t="s">
        <v>35</v>
      </c>
      <c r="G99" s="7" t="s">
        <v>18</v>
      </c>
      <c r="H99" s="42">
        <v>530.28</v>
      </c>
      <c r="I99" s="8">
        <v>0.08</v>
      </c>
      <c r="J99" s="42">
        <v>42.42</v>
      </c>
      <c r="K99" s="42">
        <v>572.70000000000005</v>
      </c>
      <c r="L99" s="7" t="s">
        <v>44</v>
      </c>
      <c r="M99" s="42">
        <v>0</v>
      </c>
      <c r="N99" s="7" t="s">
        <v>20</v>
      </c>
    </row>
    <row r="100" spans="1:14" x14ac:dyDescent="0.3">
      <c r="A100" s="5">
        <v>1101</v>
      </c>
      <c r="B100" s="6">
        <v>45871</v>
      </c>
      <c r="C100" s="7" t="s">
        <v>21</v>
      </c>
      <c r="D100" s="7" t="s">
        <v>30</v>
      </c>
      <c r="E100" s="7" t="s">
        <v>23</v>
      </c>
      <c r="F100" s="7" t="s">
        <v>57</v>
      </c>
      <c r="G100" s="7" t="s">
        <v>25</v>
      </c>
      <c r="H100" s="42">
        <v>580.74</v>
      </c>
      <c r="I100" s="8">
        <v>0.08</v>
      </c>
      <c r="J100" s="42">
        <v>46.46</v>
      </c>
      <c r="K100" s="42">
        <v>627.20000000000005</v>
      </c>
      <c r="L100" s="7" t="s">
        <v>19</v>
      </c>
      <c r="M100" s="42">
        <v>627.20000000000005</v>
      </c>
      <c r="N100" s="7" t="s">
        <v>20</v>
      </c>
    </row>
    <row r="101" spans="1:14" x14ac:dyDescent="0.3">
      <c r="A101" s="5">
        <v>1105</v>
      </c>
      <c r="B101" s="6">
        <v>45872</v>
      </c>
      <c r="C101" s="7" t="s">
        <v>14</v>
      </c>
      <c r="D101" s="7" t="s">
        <v>36</v>
      </c>
      <c r="E101" s="7" t="s">
        <v>37</v>
      </c>
      <c r="F101" s="7" t="s">
        <v>38</v>
      </c>
      <c r="G101" s="7" t="s">
        <v>25</v>
      </c>
      <c r="H101" s="42">
        <v>1200</v>
      </c>
      <c r="I101" s="8">
        <v>0</v>
      </c>
      <c r="J101" s="42">
        <v>0</v>
      </c>
      <c r="K101" s="42">
        <v>1200</v>
      </c>
      <c r="L101" s="7" t="s">
        <v>19</v>
      </c>
      <c r="M101" s="42">
        <v>-1200</v>
      </c>
      <c r="N101" s="7" t="s">
        <v>20</v>
      </c>
    </row>
    <row r="102" spans="1:14" x14ac:dyDescent="0.3">
      <c r="A102" s="5">
        <v>1109</v>
      </c>
      <c r="B102" s="6">
        <v>45874</v>
      </c>
      <c r="C102" s="7" t="s">
        <v>14</v>
      </c>
      <c r="D102" s="7" t="s">
        <v>15</v>
      </c>
      <c r="E102" s="7" t="s">
        <v>16</v>
      </c>
      <c r="F102" s="7" t="s">
        <v>17</v>
      </c>
      <c r="G102" s="7" t="s">
        <v>18</v>
      </c>
      <c r="H102" s="42">
        <v>104.12</v>
      </c>
      <c r="I102" s="8">
        <v>0.08</v>
      </c>
      <c r="J102" s="42">
        <v>8.33</v>
      </c>
      <c r="K102" s="42">
        <v>112.45</v>
      </c>
      <c r="L102" s="7" t="s">
        <v>44</v>
      </c>
      <c r="M102" s="42">
        <v>0</v>
      </c>
      <c r="N102" s="7" t="s">
        <v>20</v>
      </c>
    </row>
    <row r="103" spans="1:14" x14ac:dyDescent="0.3">
      <c r="A103" s="5">
        <v>1112</v>
      </c>
      <c r="B103" s="6">
        <v>45877</v>
      </c>
      <c r="C103" s="7" t="s">
        <v>14</v>
      </c>
      <c r="D103" s="7" t="s">
        <v>45</v>
      </c>
      <c r="E103" s="7" t="s">
        <v>46</v>
      </c>
      <c r="F103" s="7" t="s">
        <v>47</v>
      </c>
      <c r="G103" s="7" t="s">
        <v>25</v>
      </c>
      <c r="H103" s="42">
        <v>180</v>
      </c>
      <c r="I103" s="8">
        <v>0</v>
      </c>
      <c r="J103" s="42">
        <v>0</v>
      </c>
      <c r="K103" s="42">
        <v>180</v>
      </c>
      <c r="L103" s="7" t="s">
        <v>19</v>
      </c>
      <c r="M103" s="42">
        <v>-180</v>
      </c>
      <c r="N103" s="7" t="s">
        <v>20</v>
      </c>
    </row>
    <row r="104" spans="1:14" x14ac:dyDescent="0.3">
      <c r="A104" s="5">
        <v>1108</v>
      </c>
      <c r="B104" s="6">
        <v>45885</v>
      </c>
      <c r="C104" s="7" t="s">
        <v>14</v>
      </c>
      <c r="D104" s="7" t="s">
        <v>54</v>
      </c>
      <c r="E104" s="7" t="s">
        <v>55</v>
      </c>
      <c r="F104" s="7" t="s">
        <v>56</v>
      </c>
      <c r="G104" s="7" t="s">
        <v>39</v>
      </c>
      <c r="H104" s="42">
        <v>215.95</v>
      </c>
      <c r="I104" s="8">
        <v>0</v>
      </c>
      <c r="J104" s="42">
        <v>0</v>
      </c>
      <c r="K104" s="42">
        <v>215.95</v>
      </c>
      <c r="L104" s="7" t="s">
        <v>19</v>
      </c>
      <c r="M104" s="42">
        <v>-215.95</v>
      </c>
      <c r="N104" s="7" t="s">
        <v>20</v>
      </c>
    </row>
    <row r="105" spans="1:14" x14ac:dyDescent="0.3">
      <c r="A105" s="5">
        <v>1102</v>
      </c>
      <c r="B105" s="6">
        <v>45890</v>
      </c>
      <c r="C105" s="7" t="s">
        <v>21</v>
      </c>
      <c r="D105" s="7" t="s">
        <v>26</v>
      </c>
      <c r="E105" s="7" t="s">
        <v>27</v>
      </c>
      <c r="F105" s="7" t="s">
        <v>40</v>
      </c>
      <c r="G105" s="7" t="s">
        <v>29</v>
      </c>
      <c r="H105" s="42">
        <v>195.04</v>
      </c>
      <c r="I105" s="8">
        <v>0.08</v>
      </c>
      <c r="J105" s="42">
        <v>15.6</v>
      </c>
      <c r="K105" s="42">
        <v>210.64</v>
      </c>
      <c r="L105" s="7" t="s">
        <v>19</v>
      </c>
      <c r="M105" s="42">
        <v>210.64</v>
      </c>
      <c r="N105" s="7" t="s">
        <v>20</v>
      </c>
    </row>
    <row r="106" spans="1:14" x14ac:dyDescent="0.3">
      <c r="A106" s="5">
        <v>1103</v>
      </c>
      <c r="B106" s="6">
        <v>45890</v>
      </c>
      <c r="C106" s="7" t="s">
        <v>21</v>
      </c>
      <c r="D106" s="7" t="s">
        <v>26</v>
      </c>
      <c r="E106" s="7" t="s">
        <v>27</v>
      </c>
      <c r="F106" s="7" t="s">
        <v>24</v>
      </c>
      <c r="G106" s="7" t="s">
        <v>29</v>
      </c>
      <c r="H106" s="42">
        <v>229.98</v>
      </c>
      <c r="I106" s="8">
        <v>0.08</v>
      </c>
      <c r="J106" s="42">
        <v>18.399999999999999</v>
      </c>
      <c r="K106" s="42">
        <v>248.38</v>
      </c>
      <c r="L106" s="7" t="s">
        <v>19</v>
      </c>
      <c r="M106" s="42">
        <v>248.38</v>
      </c>
      <c r="N106" s="7" t="s">
        <v>20</v>
      </c>
    </row>
    <row r="107" spans="1:14" x14ac:dyDescent="0.3">
      <c r="A107" s="5">
        <v>1106</v>
      </c>
      <c r="B107" s="6">
        <v>45890</v>
      </c>
      <c r="C107" s="7" t="s">
        <v>14</v>
      </c>
      <c r="D107" s="7" t="s">
        <v>41</v>
      </c>
      <c r="E107" s="7" t="s">
        <v>42</v>
      </c>
      <c r="F107" s="7" t="s">
        <v>43</v>
      </c>
      <c r="G107" s="7" t="s">
        <v>39</v>
      </c>
      <c r="H107" s="42">
        <v>163.12</v>
      </c>
      <c r="I107" s="8">
        <v>0.08</v>
      </c>
      <c r="J107" s="42">
        <v>13.05</v>
      </c>
      <c r="K107" s="42">
        <v>176.17</v>
      </c>
      <c r="L107" s="7" t="s">
        <v>44</v>
      </c>
      <c r="M107" s="42">
        <v>0</v>
      </c>
      <c r="N107" s="7" t="s">
        <v>20</v>
      </c>
    </row>
    <row r="108" spans="1:14" x14ac:dyDescent="0.3">
      <c r="A108" s="5">
        <v>1104</v>
      </c>
      <c r="B108" s="6">
        <v>45892</v>
      </c>
      <c r="C108" s="7" t="s">
        <v>21</v>
      </c>
      <c r="D108" s="7" t="s">
        <v>30</v>
      </c>
      <c r="E108" s="7" t="s">
        <v>23</v>
      </c>
      <c r="F108" s="7" t="s">
        <v>35</v>
      </c>
      <c r="G108" s="7" t="s">
        <v>18</v>
      </c>
      <c r="H108" s="42">
        <v>567.33000000000004</v>
      </c>
      <c r="I108" s="8">
        <v>0.08</v>
      </c>
      <c r="J108" s="42">
        <v>45.39</v>
      </c>
      <c r="K108" s="42">
        <v>612.72</v>
      </c>
      <c r="L108" s="7" t="s">
        <v>44</v>
      </c>
      <c r="M108" s="42">
        <v>0</v>
      </c>
      <c r="N108" s="7" t="s">
        <v>20</v>
      </c>
    </row>
    <row r="109" spans="1:14" x14ac:dyDescent="0.3">
      <c r="A109" s="5">
        <v>1111</v>
      </c>
      <c r="B109" s="6">
        <v>45893</v>
      </c>
      <c r="C109" s="7" t="s">
        <v>14</v>
      </c>
      <c r="D109" s="7" t="s">
        <v>48</v>
      </c>
      <c r="E109" s="7" t="s">
        <v>49</v>
      </c>
      <c r="F109" s="7" t="s">
        <v>50</v>
      </c>
      <c r="G109" s="7" t="s">
        <v>18</v>
      </c>
      <c r="H109" s="42">
        <v>85.8</v>
      </c>
      <c r="I109" s="8">
        <v>0</v>
      </c>
      <c r="J109" s="42">
        <v>0</v>
      </c>
      <c r="K109" s="42">
        <v>85.8</v>
      </c>
      <c r="L109" s="7" t="s">
        <v>44</v>
      </c>
      <c r="M109" s="42">
        <v>0</v>
      </c>
      <c r="N109" s="7" t="s">
        <v>20</v>
      </c>
    </row>
    <row r="110" spans="1:14" x14ac:dyDescent="0.3">
      <c r="A110" s="5">
        <v>1110</v>
      </c>
      <c r="B110" s="6">
        <v>45893</v>
      </c>
      <c r="C110" s="7" t="s">
        <v>14</v>
      </c>
      <c r="D110" s="7" t="s">
        <v>32</v>
      </c>
      <c r="E110" s="7" t="s">
        <v>33</v>
      </c>
      <c r="F110" s="7" t="s">
        <v>34</v>
      </c>
      <c r="G110" s="7" t="s">
        <v>39</v>
      </c>
      <c r="H110" s="42">
        <v>141.76</v>
      </c>
      <c r="I110" s="8">
        <v>0.08</v>
      </c>
      <c r="J110" s="42">
        <v>11.34</v>
      </c>
      <c r="K110" s="42">
        <v>153.1</v>
      </c>
      <c r="L110" s="7" t="s">
        <v>19</v>
      </c>
      <c r="M110" s="42">
        <v>-153.1</v>
      </c>
      <c r="N110" s="7" t="s">
        <v>20</v>
      </c>
    </row>
    <row r="111" spans="1:14" x14ac:dyDescent="0.3">
      <c r="A111" s="5">
        <v>1099</v>
      </c>
      <c r="B111" s="6">
        <v>45893</v>
      </c>
      <c r="C111" s="7" t="s">
        <v>21</v>
      </c>
      <c r="D111" s="7" t="s">
        <v>30</v>
      </c>
      <c r="E111" s="7" t="s">
        <v>23</v>
      </c>
      <c r="F111" s="7" t="s">
        <v>24</v>
      </c>
      <c r="G111" s="7" t="s">
        <v>59</v>
      </c>
      <c r="H111" s="42">
        <v>409.75</v>
      </c>
      <c r="I111" s="8">
        <v>0.08</v>
      </c>
      <c r="J111" s="42">
        <v>32.78</v>
      </c>
      <c r="K111" s="42">
        <v>442.53</v>
      </c>
      <c r="L111" s="7" t="s">
        <v>19</v>
      </c>
      <c r="M111" s="42">
        <v>442.53</v>
      </c>
      <c r="N111" s="7" t="s">
        <v>20</v>
      </c>
    </row>
    <row r="112" spans="1:14" x14ac:dyDescent="0.3">
      <c r="A112" s="5">
        <v>1107</v>
      </c>
      <c r="B112" s="6">
        <v>45893</v>
      </c>
      <c r="C112" s="7" t="s">
        <v>14</v>
      </c>
      <c r="D112" s="7" t="s">
        <v>51</v>
      </c>
      <c r="E112" s="7" t="s">
        <v>52</v>
      </c>
      <c r="F112" s="7" t="s">
        <v>53</v>
      </c>
      <c r="G112" s="7" t="s">
        <v>39</v>
      </c>
      <c r="H112" s="42">
        <v>447.73</v>
      </c>
      <c r="I112" s="8">
        <v>0.08</v>
      </c>
      <c r="J112" s="42">
        <v>35.82</v>
      </c>
      <c r="K112" s="42">
        <v>483.55</v>
      </c>
      <c r="L112" s="7" t="s">
        <v>19</v>
      </c>
      <c r="M112" s="42">
        <v>-483.55</v>
      </c>
      <c r="N112" s="7" t="s">
        <v>20</v>
      </c>
    </row>
    <row r="113" spans="1:14" x14ac:dyDescent="0.3">
      <c r="A113" s="5">
        <v>1100</v>
      </c>
      <c r="B113" s="6">
        <v>45894</v>
      </c>
      <c r="C113" s="7" t="s">
        <v>21</v>
      </c>
      <c r="D113" s="7" t="s">
        <v>22</v>
      </c>
      <c r="E113" s="7" t="s">
        <v>23</v>
      </c>
      <c r="F113" s="7" t="s">
        <v>58</v>
      </c>
      <c r="G113" s="7" t="s">
        <v>18</v>
      </c>
      <c r="H113" s="42">
        <v>839.3</v>
      </c>
      <c r="I113" s="8">
        <v>0.08</v>
      </c>
      <c r="J113" s="42">
        <v>67.14</v>
      </c>
      <c r="K113" s="42">
        <v>906.44</v>
      </c>
      <c r="L113" s="7" t="s">
        <v>19</v>
      </c>
      <c r="M113" s="42">
        <v>906.44</v>
      </c>
      <c r="N113" s="7" t="s">
        <v>20</v>
      </c>
    </row>
    <row r="114" spans="1:14" x14ac:dyDescent="0.3">
      <c r="A114" s="5">
        <v>1122</v>
      </c>
      <c r="B114" s="6">
        <v>45902</v>
      </c>
      <c r="C114" s="7" t="s">
        <v>14</v>
      </c>
      <c r="D114" s="7" t="s">
        <v>54</v>
      </c>
      <c r="E114" s="7" t="s">
        <v>55</v>
      </c>
      <c r="F114" s="7" t="s">
        <v>56</v>
      </c>
      <c r="G114" s="7" t="s">
        <v>18</v>
      </c>
      <c r="H114" s="42">
        <v>196.19</v>
      </c>
      <c r="I114" s="8">
        <v>0</v>
      </c>
      <c r="J114" s="42">
        <v>0</v>
      </c>
      <c r="K114" s="42">
        <v>196.19</v>
      </c>
      <c r="L114" s="7" t="s">
        <v>44</v>
      </c>
      <c r="M114" s="42">
        <v>0</v>
      </c>
      <c r="N114" s="7" t="s">
        <v>20</v>
      </c>
    </row>
    <row r="115" spans="1:14" x14ac:dyDescent="0.3">
      <c r="A115" s="5">
        <v>1124</v>
      </c>
      <c r="B115" s="6">
        <v>45910</v>
      </c>
      <c r="C115" s="7" t="s">
        <v>14</v>
      </c>
      <c r="D115" s="7" t="s">
        <v>32</v>
      </c>
      <c r="E115" s="7" t="s">
        <v>33</v>
      </c>
      <c r="F115" s="7" t="s">
        <v>34</v>
      </c>
      <c r="G115" s="7" t="s">
        <v>18</v>
      </c>
      <c r="H115" s="42">
        <v>100.93</v>
      </c>
      <c r="I115" s="8">
        <v>0.08</v>
      </c>
      <c r="J115" s="42">
        <v>8.07</v>
      </c>
      <c r="K115" s="42">
        <v>109</v>
      </c>
      <c r="L115" s="7" t="s">
        <v>19</v>
      </c>
      <c r="M115" s="42">
        <v>-109</v>
      </c>
      <c r="N115" s="7" t="s">
        <v>20</v>
      </c>
    </row>
    <row r="116" spans="1:14" x14ac:dyDescent="0.3">
      <c r="A116" s="5">
        <v>1117</v>
      </c>
      <c r="B116" s="6">
        <v>45910</v>
      </c>
      <c r="C116" s="7" t="s">
        <v>21</v>
      </c>
      <c r="D116" s="7" t="s">
        <v>26</v>
      </c>
      <c r="E116" s="7" t="s">
        <v>27</v>
      </c>
      <c r="F116" s="7" t="s">
        <v>40</v>
      </c>
      <c r="G116" s="7" t="s">
        <v>18</v>
      </c>
      <c r="H116" s="42">
        <v>137.18</v>
      </c>
      <c r="I116" s="8">
        <v>0.08</v>
      </c>
      <c r="J116" s="42">
        <v>10.97</v>
      </c>
      <c r="K116" s="42">
        <v>148.15</v>
      </c>
      <c r="L116" s="7" t="s">
        <v>44</v>
      </c>
      <c r="M116" s="42">
        <v>0</v>
      </c>
      <c r="N116" s="7" t="s">
        <v>20</v>
      </c>
    </row>
    <row r="117" spans="1:14" x14ac:dyDescent="0.3">
      <c r="A117" s="5">
        <v>1113</v>
      </c>
      <c r="B117" s="6">
        <v>45911</v>
      </c>
      <c r="C117" s="7" t="s">
        <v>21</v>
      </c>
      <c r="D117" s="7" t="s">
        <v>22</v>
      </c>
      <c r="E117" s="7" t="s">
        <v>23</v>
      </c>
      <c r="F117" s="7" t="s">
        <v>24</v>
      </c>
      <c r="G117" s="7" t="s">
        <v>18</v>
      </c>
      <c r="H117" s="42">
        <v>747.58</v>
      </c>
      <c r="I117" s="8">
        <v>0.08</v>
      </c>
      <c r="J117" s="42">
        <v>59.81</v>
      </c>
      <c r="K117" s="42">
        <v>807.39</v>
      </c>
      <c r="L117" s="7" t="s">
        <v>19</v>
      </c>
      <c r="M117" s="42">
        <v>807.39</v>
      </c>
      <c r="N117" s="7" t="s">
        <v>20</v>
      </c>
    </row>
    <row r="118" spans="1:14" x14ac:dyDescent="0.3">
      <c r="A118" s="5">
        <v>1121</v>
      </c>
      <c r="B118" s="6">
        <v>45912</v>
      </c>
      <c r="C118" s="7" t="s">
        <v>14</v>
      </c>
      <c r="D118" s="7" t="s">
        <v>51</v>
      </c>
      <c r="E118" s="7" t="s">
        <v>52</v>
      </c>
      <c r="F118" s="7" t="s">
        <v>53</v>
      </c>
      <c r="G118" s="7" t="s">
        <v>39</v>
      </c>
      <c r="H118" s="42">
        <v>417.06</v>
      </c>
      <c r="I118" s="8">
        <v>0.08</v>
      </c>
      <c r="J118" s="42">
        <v>33.36</v>
      </c>
      <c r="K118" s="42">
        <v>450.42</v>
      </c>
      <c r="L118" s="7" t="s">
        <v>44</v>
      </c>
      <c r="M118" s="42">
        <v>0</v>
      </c>
      <c r="N118" s="7" t="s">
        <v>20</v>
      </c>
    </row>
    <row r="119" spans="1:14" x14ac:dyDescent="0.3">
      <c r="A119" s="5">
        <v>1126</v>
      </c>
      <c r="B119" s="6">
        <v>45913</v>
      </c>
      <c r="C119" s="7" t="s">
        <v>14</v>
      </c>
      <c r="D119" s="7" t="s">
        <v>45</v>
      </c>
      <c r="E119" s="7" t="s">
        <v>46</v>
      </c>
      <c r="F119" s="7" t="s">
        <v>47</v>
      </c>
      <c r="G119" s="7" t="s">
        <v>25</v>
      </c>
      <c r="H119" s="42">
        <v>180</v>
      </c>
      <c r="I119" s="8">
        <v>0</v>
      </c>
      <c r="J119" s="42">
        <v>0</v>
      </c>
      <c r="K119" s="42">
        <v>180</v>
      </c>
      <c r="L119" s="7" t="s">
        <v>19</v>
      </c>
      <c r="M119" s="42">
        <v>-180</v>
      </c>
      <c r="N119" s="7" t="s">
        <v>20</v>
      </c>
    </row>
    <row r="120" spans="1:14" x14ac:dyDescent="0.3">
      <c r="A120" s="5">
        <v>1116</v>
      </c>
      <c r="B120" s="6">
        <v>45913</v>
      </c>
      <c r="C120" s="7" t="s">
        <v>21</v>
      </c>
      <c r="D120" s="7" t="s">
        <v>30</v>
      </c>
      <c r="E120" s="7" t="s">
        <v>23</v>
      </c>
      <c r="F120" s="7" t="s">
        <v>40</v>
      </c>
      <c r="G120" s="7" t="s">
        <v>29</v>
      </c>
      <c r="H120" s="42">
        <v>258.54000000000002</v>
      </c>
      <c r="I120" s="8">
        <v>0.08</v>
      </c>
      <c r="J120" s="42">
        <v>20.68</v>
      </c>
      <c r="K120" s="42">
        <v>279.22000000000003</v>
      </c>
      <c r="L120" s="7" t="s">
        <v>19</v>
      </c>
      <c r="M120" s="42">
        <v>279.22000000000003</v>
      </c>
      <c r="N120" s="7" t="s">
        <v>20</v>
      </c>
    </row>
    <row r="121" spans="1:14" x14ac:dyDescent="0.3">
      <c r="A121" s="5">
        <v>1123</v>
      </c>
      <c r="B121" s="6">
        <v>45914</v>
      </c>
      <c r="C121" s="7" t="s">
        <v>14</v>
      </c>
      <c r="D121" s="7" t="s">
        <v>15</v>
      </c>
      <c r="E121" s="7" t="s">
        <v>16</v>
      </c>
      <c r="F121" s="7" t="s">
        <v>17</v>
      </c>
      <c r="G121" s="7" t="s">
        <v>25</v>
      </c>
      <c r="H121" s="42">
        <v>56.03</v>
      </c>
      <c r="I121" s="8">
        <v>0.08</v>
      </c>
      <c r="J121" s="42">
        <v>4.4800000000000004</v>
      </c>
      <c r="K121" s="42">
        <v>60.51</v>
      </c>
      <c r="L121" s="7" t="s">
        <v>19</v>
      </c>
      <c r="M121" s="42">
        <v>-60.51</v>
      </c>
      <c r="N121" s="7" t="s">
        <v>20</v>
      </c>
    </row>
    <row r="122" spans="1:14" x14ac:dyDescent="0.3">
      <c r="A122" s="5">
        <v>1118</v>
      </c>
      <c r="B122" s="6">
        <v>45914</v>
      </c>
      <c r="C122" s="7" t="s">
        <v>21</v>
      </c>
      <c r="D122" s="7" t="s">
        <v>26</v>
      </c>
      <c r="E122" s="7" t="s">
        <v>27</v>
      </c>
      <c r="F122" s="7" t="s">
        <v>35</v>
      </c>
      <c r="G122" s="7" t="s">
        <v>29</v>
      </c>
      <c r="H122" s="42">
        <v>235.02</v>
      </c>
      <c r="I122" s="8">
        <v>0.08</v>
      </c>
      <c r="J122" s="42">
        <v>18.8</v>
      </c>
      <c r="K122" s="42">
        <v>253.82</v>
      </c>
      <c r="L122" s="7" t="s">
        <v>44</v>
      </c>
      <c r="M122" s="42">
        <v>0</v>
      </c>
      <c r="N122" s="7" t="s">
        <v>20</v>
      </c>
    </row>
    <row r="123" spans="1:14" x14ac:dyDescent="0.3">
      <c r="A123" s="5">
        <v>1120</v>
      </c>
      <c r="B123" s="6">
        <v>45914</v>
      </c>
      <c r="C123" s="7" t="s">
        <v>14</v>
      </c>
      <c r="D123" s="7" t="s">
        <v>41</v>
      </c>
      <c r="E123" s="7" t="s">
        <v>42</v>
      </c>
      <c r="F123" s="7" t="s">
        <v>43</v>
      </c>
      <c r="G123" s="7" t="s">
        <v>39</v>
      </c>
      <c r="H123" s="42">
        <v>109.03</v>
      </c>
      <c r="I123" s="8">
        <v>0.08</v>
      </c>
      <c r="J123" s="42">
        <v>8.7200000000000006</v>
      </c>
      <c r="K123" s="42">
        <v>117.75</v>
      </c>
      <c r="L123" s="7" t="s">
        <v>19</v>
      </c>
      <c r="M123" s="42">
        <v>-117.75</v>
      </c>
      <c r="N123" s="7" t="s">
        <v>20</v>
      </c>
    </row>
    <row r="124" spans="1:14" x14ac:dyDescent="0.3">
      <c r="A124" s="5">
        <v>1115</v>
      </c>
      <c r="B124" s="6">
        <v>45918</v>
      </c>
      <c r="C124" s="7" t="s">
        <v>21</v>
      </c>
      <c r="D124" s="7" t="s">
        <v>26</v>
      </c>
      <c r="E124" s="7" t="s">
        <v>27</v>
      </c>
      <c r="F124" s="7" t="s">
        <v>40</v>
      </c>
      <c r="G124" s="7" t="s">
        <v>25</v>
      </c>
      <c r="H124" s="42">
        <v>196.44</v>
      </c>
      <c r="I124" s="8">
        <v>0.08</v>
      </c>
      <c r="J124" s="42">
        <v>15.72</v>
      </c>
      <c r="K124" s="42">
        <v>212.16</v>
      </c>
      <c r="L124" s="7" t="s">
        <v>44</v>
      </c>
      <c r="M124" s="42">
        <v>0</v>
      </c>
      <c r="N124" s="7" t="s">
        <v>20</v>
      </c>
    </row>
    <row r="125" spans="1:14" x14ac:dyDescent="0.3">
      <c r="A125" s="5">
        <v>1119</v>
      </c>
      <c r="B125" s="6">
        <v>45921</v>
      </c>
      <c r="C125" s="7" t="s">
        <v>14</v>
      </c>
      <c r="D125" s="7" t="s">
        <v>36</v>
      </c>
      <c r="E125" s="7" t="s">
        <v>37</v>
      </c>
      <c r="F125" s="7" t="s">
        <v>38</v>
      </c>
      <c r="G125" s="7" t="s">
        <v>39</v>
      </c>
      <c r="H125" s="42">
        <v>1200</v>
      </c>
      <c r="I125" s="8">
        <v>0</v>
      </c>
      <c r="J125" s="42">
        <v>0</v>
      </c>
      <c r="K125" s="42">
        <v>1200</v>
      </c>
      <c r="L125" s="7" t="s">
        <v>19</v>
      </c>
      <c r="M125" s="42">
        <v>-1200</v>
      </c>
      <c r="N125" s="7" t="s">
        <v>20</v>
      </c>
    </row>
    <row r="126" spans="1:14" x14ac:dyDescent="0.3">
      <c r="A126" s="5">
        <v>1114</v>
      </c>
      <c r="B126" s="6">
        <v>45923</v>
      </c>
      <c r="C126" s="7" t="s">
        <v>21</v>
      </c>
      <c r="D126" s="7" t="s">
        <v>30</v>
      </c>
      <c r="E126" s="7" t="s">
        <v>23</v>
      </c>
      <c r="F126" s="7" t="s">
        <v>28</v>
      </c>
      <c r="G126" s="7" t="s">
        <v>25</v>
      </c>
      <c r="H126" s="42">
        <v>541.30999999999995</v>
      </c>
      <c r="I126" s="8">
        <v>0.08</v>
      </c>
      <c r="J126" s="42">
        <v>43.3</v>
      </c>
      <c r="K126" s="42">
        <v>584.61</v>
      </c>
      <c r="L126" s="7" t="s">
        <v>19</v>
      </c>
      <c r="M126" s="42">
        <v>584.61</v>
      </c>
      <c r="N126" s="7" t="s">
        <v>20</v>
      </c>
    </row>
    <row r="127" spans="1:14" x14ac:dyDescent="0.3">
      <c r="A127" s="5">
        <v>1125</v>
      </c>
      <c r="B127" s="6">
        <v>45924</v>
      </c>
      <c r="C127" s="7" t="s">
        <v>14</v>
      </c>
      <c r="D127" s="7" t="s">
        <v>48</v>
      </c>
      <c r="E127" s="7" t="s">
        <v>49</v>
      </c>
      <c r="F127" s="7" t="s">
        <v>50</v>
      </c>
      <c r="G127" s="7" t="s">
        <v>18</v>
      </c>
      <c r="H127" s="42">
        <v>89.51</v>
      </c>
      <c r="I127" s="8">
        <v>0</v>
      </c>
      <c r="J127" s="42">
        <v>0</v>
      </c>
      <c r="K127" s="42">
        <v>89.51</v>
      </c>
      <c r="L127" s="7" t="s">
        <v>19</v>
      </c>
      <c r="M127" s="42">
        <v>-89.51</v>
      </c>
      <c r="N127" s="7" t="s">
        <v>20</v>
      </c>
    </row>
    <row r="128" spans="1:14" x14ac:dyDescent="0.3">
      <c r="A128" s="5">
        <v>1135</v>
      </c>
      <c r="B128" s="6">
        <v>45933</v>
      </c>
      <c r="C128" s="7" t="s">
        <v>14</v>
      </c>
      <c r="D128" s="7" t="s">
        <v>51</v>
      </c>
      <c r="E128" s="7" t="s">
        <v>52</v>
      </c>
      <c r="F128" s="7" t="s">
        <v>53</v>
      </c>
      <c r="G128" s="7" t="s">
        <v>25</v>
      </c>
      <c r="H128" s="42">
        <v>450.21</v>
      </c>
      <c r="I128" s="8">
        <v>0.08</v>
      </c>
      <c r="J128" s="42">
        <v>36.020000000000003</v>
      </c>
      <c r="K128" s="42">
        <v>486.23</v>
      </c>
      <c r="L128" s="7" t="s">
        <v>44</v>
      </c>
      <c r="M128" s="42">
        <v>0</v>
      </c>
      <c r="N128" s="7" t="s">
        <v>20</v>
      </c>
    </row>
    <row r="129" spans="1:14" x14ac:dyDescent="0.3">
      <c r="A129" s="5">
        <v>1140</v>
      </c>
      <c r="B129" s="6">
        <v>45935</v>
      </c>
      <c r="C129" s="7" t="s">
        <v>14</v>
      </c>
      <c r="D129" s="7" t="s">
        <v>45</v>
      </c>
      <c r="E129" s="7" t="s">
        <v>46</v>
      </c>
      <c r="F129" s="7" t="s">
        <v>47</v>
      </c>
      <c r="G129" s="7" t="s">
        <v>39</v>
      </c>
      <c r="H129" s="42">
        <v>180</v>
      </c>
      <c r="I129" s="8">
        <v>0</v>
      </c>
      <c r="J129" s="42">
        <v>0</v>
      </c>
      <c r="K129" s="42">
        <v>180</v>
      </c>
      <c r="L129" s="7" t="s">
        <v>44</v>
      </c>
      <c r="M129" s="42">
        <v>0</v>
      </c>
      <c r="N129" s="7" t="s">
        <v>20</v>
      </c>
    </row>
    <row r="130" spans="1:14" x14ac:dyDescent="0.3">
      <c r="A130" s="5">
        <v>1132</v>
      </c>
      <c r="B130" s="6">
        <v>45940</v>
      </c>
      <c r="C130" s="7" t="s">
        <v>21</v>
      </c>
      <c r="D130" s="7" t="s">
        <v>26</v>
      </c>
      <c r="E130" s="7" t="s">
        <v>27</v>
      </c>
      <c r="F130" s="7" t="s">
        <v>40</v>
      </c>
      <c r="G130" s="7" t="s">
        <v>18</v>
      </c>
      <c r="H130" s="42">
        <v>246.39</v>
      </c>
      <c r="I130" s="8">
        <v>0.08</v>
      </c>
      <c r="J130" s="42">
        <v>19.71</v>
      </c>
      <c r="K130" s="42">
        <v>266.10000000000002</v>
      </c>
      <c r="L130" s="7" t="s">
        <v>44</v>
      </c>
      <c r="M130" s="42">
        <v>0</v>
      </c>
      <c r="N130" s="7" t="s">
        <v>20</v>
      </c>
    </row>
    <row r="131" spans="1:14" x14ac:dyDescent="0.3">
      <c r="A131" s="5">
        <v>1136</v>
      </c>
      <c r="B131" s="6">
        <v>45943</v>
      </c>
      <c r="C131" s="7" t="s">
        <v>14</v>
      </c>
      <c r="D131" s="7" t="s">
        <v>54</v>
      </c>
      <c r="E131" s="7" t="s">
        <v>55</v>
      </c>
      <c r="F131" s="7" t="s">
        <v>56</v>
      </c>
      <c r="G131" s="7" t="s">
        <v>18</v>
      </c>
      <c r="H131" s="42">
        <v>155.13999999999999</v>
      </c>
      <c r="I131" s="8">
        <v>0</v>
      </c>
      <c r="J131" s="42">
        <v>0</v>
      </c>
      <c r="K131" s="42">
        <v>155.13999999999999</v>
      </c>
      <c r="L131" s="7" t="s">
        <v>44</v>
      </c>
      <c r="M131" s="42">
        <v>0</v>
      </c>
      <c r="N131" s="7" t="s">
        <v>20</v>
      </c>
    </row>
    <row r="132" spans="1:14" x14ac:dyDescent="0.3">
      <c r="A132" s="5">
        <v>1138</v>
      </c>
      <c r="B132" s="6">
        <v>45945</v>
      </c>
      <c r="C132" s="7" t="s">
        <v>14</v>
      </c>
      <c r="D132" s="7" t="s">
        <v>32</v>
      </c>
      <c r="E132" s="7" t="s">
        <v>33</v>
      </c>
      <c r="F132" s="7" t="s">
        <v>34</v>
      </c>
      <c r="G132" s="7" t="s">
        <v>18</v>
      </c>
      <c r="H132" s="42">
        <v>227.66</v>
      </c>
      <c r="I132" s="8">
        <v>0.08</v>
      </c>
      <c r="J132" s="42">
        <v>18.21</v>
      </c>
      <c r="K132" s="42">
        <v>245.87</v>
      </c>
      <c r="L132" s="7" t="s">
        <v>19</v>
      </c>
      <c r="M132" s="42">
        <v>-245.87</v>
      </c>
      <c r="N132" s="7" t="s">
        <v>20</v>
      </c>
    </row>
    <row r="133" spans="1:14" x14ac:dyDescent="0.3">
      <c r="A133" s="5">
        <v>1127</v>
      </c>
      <c r="B133" s="6">
        <v>45948</v>
      </c>
      <c r="C133" s="7" t="s">
        <v>21</v>
      </c>
      <c r="D133" s="7" t="s">
        <v>26</v>
      </c>
      <c r="E133" s="7" t="s">
        <v>27</v>
      </c>
      <c r="F133" s="7" t="s">
        <v>60</v>
      </c>
      <c r="G133" s="7" t="s">
        <v>18</v>
      </c>
      <c r="H133" s="42">
        <v>276.02999999999997</v>
      </c>
      <c r="I133" s="8">
        <v>0.08</v>
      </c>
      <c r="J133" s="42">
        <v>22.08</v>
      </c>
      <c r="K133" s="42">
        <v>298.11</v>
      </c>
      <c r="L133" s="7" t="s">
        <v>19</v>
      </c>
      <c r="M133" s="42">
        <v>298.11</v>
      </c>
      <c r="N133" s="7" t="s">
        <v>20</v>
      </c>
    </row>
    <row r="134" spans="1:14" x14ac:dyDescent="0.3">
      <c r="A134" s="5">
        <v>1130</v>
      </c>
      <c r="B134" s="6">
        <v>45949</v>
      </c>
      <c r="C134" s="7" t="s">
        <v>21</v>
      </c>
      <c r="D134" s="7" t="s">
        <v>26</v>
      </c>
      <c r="E134" s="7" t="s">
        <v>27</v>
      </c>
      <c r="F134" s="7" t="s">
        <v>57</v>
      </c>
      <c r="G134" s="7" t="s">
        <v>59</v>
      </c>
      <c r="H134" s="42">
        <v>142.76</v>
      </c>
      <c r="I134" s="8">
        <v>0.08</v>
      </c>
      <c r="J134" s="42">
        <v>11.42</v>
      </c>
      <c r="K134" s="42">
        <v>154.18</v>
      </c>
      <c r="L134" s="7" t="s">
        <v>19</v>
      </c>
      <c r="M134" s="42">
        <v>154.18</v>
      </c>
      <c r="N134" s="7" t="s">
        <v>20</v>
      </c>
    </row>
    <row r="135" spans="1:14" x14ac:dyDescent="0.3">
      <c r="A135" s="5">
        <v>1129</v>
      </c>
      <c r="B135" s="6">
        <v>45950</v>
      </c>
      <c r="C135" s="7" t="s">
        <v>21</v>
      </c>
      <c r="D135" s="7" t="s">
        <v>30</v>
      </c>
      <c r="E135" s="7" t="s">
        <v>23</v>
      </c>
      <c r="F135" s="7" t="s">
        <v>28</v>
      </c>
      <c r="G135" s="7" t="s">
        <v>18</v>
      </c>
      <c r="H135" s="42">
        <v>255.56</v>
      </c>
      <c r="I135" s="8">
        <v>0.08</v>
      </c>
      <c r="J135" s="42">
        <v>20.440000000000001</v>
      </c>
      <c r="K135" s="42">
        <v>276</v>
      </c>
      <c r="L135" s="7" t="s">
        <v>19</v>
      </c>
      <c r="M135" s="42">
        <v>276</v>
      </c>
      <c r="N135" s="7" t="s">
        <v>20</v>
      </c>
    </row>
    <row r="136" spans="1:14" x14ac:dyDescent="0.3">
      <c r="A136" s="5">
        <v>1139</v>
      </c>
      <c r="B136" s="6">
        <v>45950</v>
      </c>
      <c r="C136" s="7" t="s">
        <v>14</v>
      </c>
      <c r="D136" s="7" t="s">
        <v>48</v>
      </c>
      <c r="E136" s="7" t="s">
        <v>49</v>
      </c>
      <c r="F136" s="7" t="s">
        <v>50</v>
      </c>
      <c r="G136" s="7" t="s">
        <v>39</v>
      </c>
      <c r="H136" s="42">
        <v>137.06</v>
      </c>
      <c r="I136" s="8">
        <v>0</v>
      </c>
      <c r="J136" s="42">
        <v>0</v>
      </c>
      <c r="K136" s="42">
        <v>137.06</v>
      </c>
      <c r="L136" s="7" t="s">
        <v>19</v>
      </c>
      <c r="M136" s="42">
        <v>-137.06</v>
      </c>
      <c r="N136" s="7" t="s">
        <v>20</v>
      </c>
    </row>
    <row r="137" spans="1:14" x14ac:dyDescent="0.3">
      <c r="A137" s="5">
        <v>1131</v>
      </c>
      <c r="B137" s="6">
        <v>45950</v>
      </c>
      <c r="C137" s="7" t="s">
        <v>21</v>
      </c>
      <c r="D137" s="7" t="s">
        <v>22</v>
      </c>
      <c r="E137" s="7" t="s">
        <v>23</v>
      </c>
      <c r="F137" s="7" t="s">
        <v>31</v>
      </c>
      <c r="G137" s="7" t="s">
        <v>59</v>
      </c>
      <c r="H137" s="42">
        <v>790.94</v>
      </c>
      <c r="I137" s="8">
        <v>0.08</v>
      </c>
      <c r="J137" s="42">
        <v>63.28</v>
      </c>
      <c r="K137" s="42">
        <v>854.22</v>
      </c>
      <c r="L137" s="7" t="s">
        <v>19</v>
      </c>
      <c r="M137" s="42">
        <v>854.22</v>
      </c>
      <c r="N137" s="7" t="s">
        <v>20</v>
      </c>
    </row>
    <row r="138" spans="1:14" x14ac:dyDescent="0.3">
      <c r="A138" s="5">
        <v>1137</v>
      </c>
      <c r="B138" s="6">
        <v>45950</v>
      </c>
      <c r="C138" s="7" t="s">
        <v>14</v>
      </c>
      <c r="D138" s="7" t="s">
        <v>15</v>
      </c>
      <c r="E138" s="7" t="s">
        <v>16</v>
      </c>
      <c r="F138" s="7" t="s">
        <v>17</v>
      </c>
      <c r="G138" s="7" t="s">
        <v>25</v>
      </c>
      <c r="H138" s="42">
        <v>45.69</v>
      </c>
      <c r="I138" s="8">
        <v>0.08</v>
      </c>
      <c r="J138" s="42">
        <v>3.66</v>
      </c>
      <c r="K138" s="42">
        <v>49.35</v>
      </c>
      <c r="L138" s="7" t="s">
        <v>19</v>
      </c>
      <c r="M138" s="42">
        <v>-49.35</v>
      </c>
      <c r="N138" s="7" t="s">
        <v>20</v>
      </c>
    </row>
    <row r="139" spans="1:14" x14ac:dyDescent="0.3">
      <c r="A139" s="5">
        <v>1128</v>
      </c>
      <c r="B139" s="6">
        <v>45951</v>
      </c>
      <c r="C139" s="7" t="s">
        <v>21</v>
      </c>
      <c r="D139" s="7" t="s">
        <v>26</v>
      </c>
      <c r="E139" s="7" t="s">
        <v>27</v>
      </c>
      <c r="F139" s="7" t="s">
        <v>35</v>
      </c>
      <c r="G139" s="7" t="s">
        <v>18</v>
      </c>
      <c r="H139" s="42">
        <v>185.63</v>
      </c>
      <c r="I139" s="8">
        <v>0.08</v>
      </c>
      <c r="J139" s="42">
        <v>14.85</v>
      </c>
      <c r="K139" s="42">
        <v>200.48</v>
      </c>
      <c r="L139" s="7" t="s">
        <v>19</v>
      </c>
      <c r="M139" s="42">
        <v>200.48</v>
      </c>
      <c r="N139" s="7" t="s">
        <v>20</v>
      </c>
    </row>
    <row r="140" spans="1:14" x14ac:dyDescent="0.3">
      <c r="A140" s="5">
        <v>1133</v>
      </c>
      <c r="B140" s="6">
        <v>45952</v>
      </c>
      <c r="C140" s="7" t="s">
        <v>14</v>
      </c>
      <c r="D140" s="7" t="s">
        <v>36</v>
      </c>
      <c r="E140" s="7" t="s">
        <v>37</v>
      </c>
      <c r="F140" s="7" t="s">
        <v>38</v>
      </c>
      <c r="G140" s="7" t="s">
        <v>25</v>
      </c>
      <c r="H140" s="42">
        <v>1200</v>
      </c>
      <c r="I140" s="8">
        <v>0</v>
      </c>
      <c r="J140" s="42">
        <v>0</v>
      </c>
      <c r="K140" s="42">
        <v>1200</v>
      </c>
      <c r="L140" s="7" t="s">
        <v>44</v>
      </c>
      <c r="M140" s="42">
        <v>0</v>
      </c>
      <c r="N140" s="7" t="s">
        <v>20</v>
      </c>
    </row>
    <row r="141" spans="1:14" x14ac:dyDescent="0.3">
      <c r="A141" s="5">
        <v>1134</v>
      </c>
      <c r="B141" s="6">
        <v>45954</v>
      </c>
      <c r="C141" s="7" t="s">
        <v>14</v>
      </c>
      <c r="D141" s="7" t="s">
        <v>41</v>
      </c>
      <c r="E141" s="7" t="s">
        <v>42</v>
      </c>
      <c r="F141" s="7" t="s">
        <v>43</v>
      </c>
      <c r="G141" s="7" t="s">
        <v>39</v>
      </c>
      <c r="H141" s="42">
        <v>103.66</v>
      </c>
      <c r="I141" s="8">
        <v>0.08</v>
      </c>
      <c r="J141" s="42">
        <v>8.2899999999999991</v>
      </c>
      <c r="K141" s="42">
        <v>111.95</v>
      </c>
      <c r="L141" s="7" t="s">
        <v>19</v>
      </c>
      <c r="M141" s="42">
        <v>-111.95</v>
      </c>
      <c r="N141" s="7" t="s">
        <v>20</v>
      </c>
    </row>
    <row r="142" spans="1:14" x14ac:dyDescent="0.3">
      <c r="A142" s="5">
        <v>1144</v>
      </c>
      <c r="B142" s="6">
        <v>45967</v>
      </c>
      <c r="C142" s="7" t="s">
        <v>21</v>
      </c>
      <c r="D142" s="7" t="s">
        <v>26</v>
      </c>
      <c r="E142" s="7" t="s">
        <v>27</v>
      </c>
      <c r="F142" s="7" t="s">
        <v>28</v>
      </c>
      <c r="G142" s="7" t="s">
        <v>59</v>
      </c>
      <c r="H142" s="42">
        <v>105.55</v>
      </c>
      <c r="I142" s="8">
        <v>0.08</v>
      </c>
      <c r="J142" s="42">
        <v>8.44</v>
      </c>
      <c r="K142" s="42">
        <v>113.99</v>
      </c>
      <c r="L142" s="7" t="s">
        <v>44</v>
      </c>
      <c r="M142" s="42">
        <v>0</v>
      </c>
      <c r="N142" s="7" t="s">
        <v>20</v>
      </c>
    </row>
    <row r="143" spans="1:14" x14ac:dyDescent="0.3">
      <c r="A143" s="5">
        <v>1148</v>
      </c>
      <c r="B143" s="6">
        <v>45968</v>
      </c>
      <c r="C143" s="7" t="s">
        <v>14</v>
      </c>
      <c r="D143" s="7" t="s">
        <v>41</v>
      </c>
      <c r="E143" s="7" t="s">
        <v>42</v>
      </c>
      <c r="F143" s="7" t="s">
        <v>43</v>
      </c>
      <c r="G143" s="7" t="s">
        <v>39</v>
      </c>
      <c r="H143" s="42">
        <v>102.91</v>
      </c>
      <c r="I143" s="8">
        <v>0.08</v>
      </c>
      <c r="J143" s="42">
        <v>8.23</v>
      </c>
      <c r="K143" s="42">
        <v>111.14</v>
      </c>
      <c r="L143" s="7" t="s">
        <v>19</v>
      </c>
      <c r="M143" s="42">
        <v>-111.14</v>
      </c>
      <c r="N143" s="7" t="s">
        <v>20</v>
      </c>
    </row>
    <row r="144" spans="1:14" x14ac:dyDescent="0.3">
      <c r="A144" s="5">
        <v>1142</v>
      </c>
      <c r="B144" s="6">
        <v>45969</v>
      </c>
      <c r="C144" s="7" t="s">
        <v>21</v>
      </c>
      <c r="D144" s="7" t="s">
        <v>22</v>
      </c>
      <c r="E144" s="7" t="s">
        <v>23</v>
      </c>
      <c r="F144" s="7" t="s">
        <v>58</v>
      </c>
      <c r="G144" s="7" t="s">
        <v>29</v>
      </c>
      <c r="H144" s="42">
        <v>690.5</v>
      </c>
      <c r="I144" s="8">
        <v>0.08</v>
      </c>
      <c r="J144" s="42">
        <v>55.24</v>
      </c>
      <c r="K144" s="42">
        <v>745.74</v>
      </c>
      <c r="L144" s="7" t="s">
        <v>19</v>
      </c>
      <c r="M144" s="42">
        <v>745.74</v>
      </c>
      <c r="N144" s="7" t="s">
        <v>20</v>
      </c>
    </row>
    <row r="145" spans="1:14" x14ac:dyDescent="0.3">
      <c r="A145" s="5">
        <v>1152</v>
      </c>
      <c r="B145" s="6">
        <v>45969</v>
      </c>
      <c r="C145" s="7" t="s">
        <v>14</v>
      </c>
      <c r="D145" s="7" t="s">
        <v>32</v>
      </c>
      <c r="E145" s="7" t="s">
        <v>33</v>
      </c>
      <c r="F145" s="7" t="s">
        <v>34</v>
      </c>
      <c r="G145" s="7" t="s">
        <v>18</v>
      </c>
      <c r="H145" s="42">
        <v>196.11</v>
      </c>
      <c r="I145" s="8">
        <v>0.08</v>
      </c>
      <c r="J145" s="42">
        <v>15.69</v>
      </c>
      <c r="K145" s="42">
        <v>211.8</v>
      </c>
      <c r="L145" s="7" t="s">
        <v>19</v>
      </c>
      <c r="M145" s="42">
        <v>-211.8</v>
      </c>
      <c r="N145" s="7" t="s">
        <v>20</v>
      </c>
    </row>
    <row r="146" spans="1:14" x14ac:dyDescent="0.3">
      <c r="A146" s="5">
        <v>1146</v>
      </c>
      <c r="B146" s="6">
        <v>45975</v>
      </c>
      <c r="C146" s="7" t="s">
        <v>21</v>
      </c>
      <c r="D146" s="7" t="s">
        <v>26</v>
      </c>
      <c r="E146" s="7" t="s">
        <v>27</v>
      </c>
      <c r="F146" s="7" t="s">
        <v>28</v>
      </c>
      <c r="G146" s="7" t="s">
        <v>29</v>
      </c>
      <c r="H146" s="42">
        <v>347.59</v>
      </c>
      <c r="I146" s="8">
        <v>0.08</v>
      </c>
      <c r="J146" s="42">
        <v>27.81</v>
      </c>
      <c r="K146" s="42">
        <v>375.4</v>
      </c>
      <c r="L146" s="7" t="s">
        <v>44</v>
      </c>
      <c r="M146" s="42">
        <v>0</v>
      </c>
      <c r="N146" s="7" t="s">
        <v>20</v>
      </c>
    </row>
    <row r="147" spans="1:14" x14ac:dyDescent="0.3">
      <c r="A147" s="5">
        <v>1147</v>
      </c>
      <c r="B147" s="6">
        <v>45976</v>
      </c>
      <c r="C147" s="7" t="s">
        <v>14</v>
      </c>
      <c r="D147" s="7" t="s">
        <v>36</v>
      </c>
      <c r="E147" s="7" t="s">
        <v>37</v>
      </c>
      <c r="F147" s="7" t="s">
        <v>38</v>
      </c>
      <c r="G147" s="7" t="s">
        <v>25</v>
      </c>
      <c r="H147" s="42">
        <v>1200</v>
      </c>
      <c r="I147" s="8">
        <v>0</v>
      </c>
      <c r="J147" s="42">
        <v>0</v>
      </c>
      <c r="K147" s="42">
        <v>1200</v>
      </c>
      <c r="L147" s="7" t="s">
        <v>19</v>
      </c>
      <c r="M147" s="42">
        <v>-1200</v>
      </c>
      <c r="N147" s="7" t="s">
        <v>20</v>
      </c>
    </row>
    <row r="148" spans="1:14" x14ac:dyDescent="0.3">
      <c r="A148" s="5">
        <v>1150</v>
      </c>
      <c r="B148" s="6">
        <v>45977</v>
      </c>
      <c r="C148" s="7" t="s">
        <v>14</v>
      </c>
      <c r="D148" s="7" t="s">
        <v>54</v>
      </c>
      <c r="E148" s="7" t="s">
        <v>55</v>
      </c>
      <c r="F148" s="7" t="s">
        <v>56</v>
      </c>
      <c r="G148" s="7" t="s">
        <v>18</v>
      </c>
      <c r="H148" s="42">
        <v>171.52</v>
      </c>
      <c r="I148" s="8">
        <v>0</v>
      </c>
      <c r="J148" s="42">
        <v>0</v>
      </c>
      <c r="K148" s="42">
        <v>171.52</v>
      </c>
      <c r="L148" s="7" t="s">
        <v>19</v>
      </c>
      <c r="M148" s="42">
        <v>-171.52</v>
      </c>
      <c r="N148" s="7" t="s">
        <v>20</v>
      </c>
    </row>
    <row r="149" spans="1:14" x14ac:dyDescent="0.3">
      <c r="A149" s="5">
        <v>1151</v>
      </c>
      <c r="B149" s="6">
        <v>45978</v>
      </c>
      <c r="C149" s="7" t="s">
        <v>14</v>
      </c>
      <c r="D149" s="7" t="s">
        <v>15</v>
      </c>
      <c r="E149" s="7" t="s">
        <v>16</v>
      </c>
      <c r="F149" s="7" t="s">
        <v>17</v>
      </c>
      <c r="G149" s="7" t="s">
        <v>18</v>
      </c>
      <c r="H149" s="42">
        <v>189.48</v>
      </c>
      <c r="I149" s="8">
        <v>0.08</v>
      </c>
      <c r="J149" s="42">
        <v>15.16</v>
      </c>
      <c r="K149" s="42">
        <v>204.64</v>
      </c>
      <c r="L149" s="7" t="s">
        <v>19</v>
      </c>
      <c r="M149" s="42">
        <v>-204.64</v>
      </c>
      <c r="N149" s="7" t="s">
        <v>20</v>
      </c>
    </row>
    <row r="150" spans="1:14" x14ac:dyDescent="0.3">
      <c r="A150" s="5">
        <v>1154</v>
      </c>
      <c r="B150" s="6">
        <v>45978</v>
      </c>
      <c r="C150" s="7" t="s">
        <v>14</v>
      </c>
      <c r="D150" s="7" t="s">
        <v>45</v>
      </c>
      <c r="E150" s="7" t="s">
        <v>46</v>
      </c>
      <c r="F150" s="7" t="s">
        <v>47</v>
      </c>
      <c r="G150" s="7" t="s">
        <v>25</v>
      </c>
      <c r="H150" s="42">
        <v>180</v>
      </c>
      <c r="I150" s="8">
        <v>0</v>
      </c>
      <c r="J150" s="42">
        <v>0</v>
      </c>
      <c r="K150" s="42">
        <v>180</v>
      </c>
      <c r="L150" s="7" t="s">
        <v>44</v>
      </c>
      <c r="M150" s="42">
        <v>0</v>
      </c>
      <c r="N150" s="7" t="s">
        <v>20</v>
      </c>
    </row>
    <row r="151" spans="1:14" x14ac:dyDescent="0.3">
      <c r="A151" s="5">
        <v>1141</v>
      </c>
      <c r="B151" s="6">
        <v>45979</v>
      </c>
      <c r="C151" s="7" t="s">
        <v>21</v>
      </c>
      <c r="D151" s="7" t="s">
        <v>22</v>
      </c>
      <c r="E151" s="7" t="s">
        <v>23</v>
      </c>
      <c r="F151" s="7" t="s">
        <v>57</v>
      </c>
      <c r="G151" s="7" t="s">
        <v>29</v>
      </c>
      <c r="H151" s="42">
        <v>499.66</v>
      </c>
      <c r="I151" s="8">
        <v>0.08</v>
      </c>
      <c r="J151" s="42">
        <v>39.97</v>
      </c>
      <c r="K151" s="42">
        <v>539.63</v>
      </c>
      <c r="L151" s="7" t="s">
        <v>44</v>
      </c>
      <c r="M151" s="42">
        <v>0</v>
      </c>
      <c r="N151" s="7" t="s">
        <v>20</v>
      </c>
    </row>
    <row r="152" spans="1:14" x14ac:dyDescent="0.3">
      <c r="A152" s="5">
        <v>1143</v>
      </c>
      <c r="B152" s="6">
        <v>45980</v>
      </c>
      <c r="C152" s="7" t="s">
        <v>21</v>
      </c>
      <c r="D152" s="7" t="s">
        <v>30</v>
      </c>
      <c r="E152" s="7" t="s">
        <v>23</v>
      </c>
      <c r="F152" s="7" t="s">
        <v>60</v>
      </c>
      <c r="G152" s="7" t="s">
        <v>25</v>
      </c>
      <c r="H152" s="42">
        <v>297.27999999999997</v>
      </c>
      <c r="I152" s="8">
        <v>0.08</v>
      </c>
      <c r="J152" s="42">
        <v>23.78</v>
      </c>
      <c r="K152" s="42">
        <v>321.06</v>
      </c>
      <c r="L152" s="7" t="s">
        <v>44</v>
      </c>
      <c r="M152" s="42">
        <v>0</v>
      </c>
      <c r="N152" s="7" t="s">
        <v>20</v>
      </c>
    </row>
    <row r="153" spans="1:14" x14ac:dyDescent="0.3">
      <c r="A153" s="5">
        <v>1145</v>
      </c>
      <c r="B153" s="6">
        <v>45981</v>
      </c>
      <c r="C153" s="7" t="s">
        <v>21</v>
      </c>
      <c r="D153" s="7" t="s">
        <v>22</v>
      </c>
      <c r="E153" s="7" t="s">
        <v>23</v>
      </c>
      <c r="F153" s="7" t="s">
        <v>35</v>
      </c>
      <c r="G153" s="7" t="s">
        <v>18</v>
      </c>
      <c r="H153" s="42">
        <v>678.78</v>
      </c>
      <c r="I153" s="8">
        <v>0.08</v>
      </c>
      <c r="J153" s="42">
        <v>54.3</v>
      </c>
      <c r="K153" s="42">
        <v>733.08</v>
      </c>
      <c r="L153" s="7" t="s">
        <v>19</v>
      </c>
      <c r="M153" s="42">
        <v>733.08</v>
      </c>
      <c r="N153" s="7" t="s">
        <v>20</v>
      </c>
    </row>
    <row r="154" spans="1:14" x14ac:dyDescent="0.3">
      <c r="A154" s="5">
        <v>1149</v>
      </c>
      <c r="B154" s="6">
        <v>45982</v>
      </c>
      <c r="C154" s="7" t="s">
        <v>14</v>
      </c>
      <c r="D154" s="7" t="s">
        <v>51</v>
      </c>
      <c r="E154" s="7" t="s">
        <v>52</v>
      </c>
      <c r="F154" s="7" t="s">
        <v>53</v>
      </c>
      <c r="G154" s="7" t="s">
        <v>18</v>
      </c>
      <c r="H154" s="42">
        <v>271.64999999999998</v>
      </c>
      <c r="I154" s="8">
        <v>0.08</v>
      </c>
      <c r="J154" s="42">
        <v>21.73</v>
      </c>
      <c r="K154" s="42">
        <v>293.38</v>
      </c>
      <c r="L154" s="7" t="s">
        <v>44</v>
      </c>
      <c r="M154" s="42">
        <v>0</v>
      </c>
      <c r="N154" s="7" t="s">
        <v>20</v>
      </c>
    </row>
    <row r="155" spans="1:14" x14ac:dyDescent="0.3">
      <c r="A155" s="5">
        <v>1153</v>
      </c>
      <c r="B155" s="6">
        <v>45984</v>
      </c>
      <c r="C155" s="7" t="s">
        <v>14</v>
      </c>
      <c r="D155" s="7" t="s">
        <v>48</v>
      </c>
      <c r="E155" s="7" t="s">
        <v>49</v>
      </c>
      <c r="F155" s="7" t="s">
        <v>50</v>
      </c>
      <c r="G155" s="7" t="s">
        <v>18</v>
      </c>
      <c r="H155" s="42">
        <v>82.29</v>
      </c>
      <c r="I155" s="8">
        <v>0</v>
      </c>
      <c r="J155" s="42">
        <v>0</v>
      </c>
      <c r="K155" s="42">
        <v>82.29</v>
      </c>
      <c r="L155" s="7" t="s">
        <v>19</v>
      </c>
      <c r="M155" s="42">
        <v>-82.29</v>
      </c>
      <c r="N155" s="7" t="s">
        <v>20</v>
      </c>
    </row>
    <row r="156" spans="1:14" x14ac:dyDescent="0.3">
      <c r="A156" s="5">
        <v>1159</v>
      </c>
      <c r="B156" s="6">
        <v>45993</v>
      </c>
      <c r="C156" s="7" t="s">
        <v>21</v>
      </c>
      <c r="D156" s="7" t="s">
        <v>26</v>
      </c>
      <c r="E156" s="7" t="s">
        <v>27</v>
      </c>
      <c r="F156" s="7" t="s">
        <v>57</v>
      </c>
      <c r="G156" s="7" t="s">
        <v>25</v>
      </c>
      <c r="H156" s="42">
        <v>210.16</v>
      </c>
      <c r="I156" s="8">
        <v>0.08</v>
      </c>
      <c r="J156" s="42">
        <v>16.809999999999999</v>
      </c>
      <c r="K156" s="42">
        <v>226.97</v>
      </c>
      <c r="L156" s="7" t="s">
        <v>19</v>
      </c>
      <c r="M156" s="42">
        <v>226.97</v>
      </c>
      <c r="N156" s="7" t="s">
        <v>20</v>
      </c>
    </row>
    <row r="157" spans="1:14" x14ac:dyDescent="0.3">
      <c r="A157" s="5">
        <v>1157</v>
      </c>
      <c r="B157" s="6">
        <v>45993</v>
      </c>
      <c r="C157" s="7" t="s">
        <v>21</v>
      </c>
      <c r="D157" s="7" t="s">
        <v>30</v>
      </c>
      <c r="E157" s="7" t="s">
        <v>23</v>
      </c>
      <c r="F157" s="7" t="s">
        <v>31</v>
      </c>
      <c r="G157" s="7" t="s">
        <v>29</v>
      </c>
      <c r="H157" s="42">
        <v>521.07000000000005</v>
      </c>
      <c r="I157" s="8">
        <v>0.08</v>
      </c>
      <c r="J157" s="42">
        <v>41.69</v>
      </c>
      <c r="K157" s="42">
        <v>562.76</v>
      </c>
      <c r="L157" s="7" t="s">
        <v>19</v>
      </c>
      <c r="M157" s="42">
        <v>562.76</v>
      </c>
      <c r="N157" s="7" t="s">
        <v>20</v>
      </c>
    </row>
    <row r="158" spans="1:14" x14ac:dyDescent="0.3">
      <c r="A158" s="5">
        <v>1160</v>
      </c>
      <c r="B158" s="6">
        <v>45994</v>
      </c>
      <c r="C158" s="7" t="s">
        <v>21</v>
      </c>
      <c r="D158" s="7" t="s">
        <v>26</v>
      </c>
      <c r="E158" s="7" t="s">
        <v>27</v>
      </c>
      <c r="F158" s="7" t="s">
        <v>31</v>
      </c>
      <c r="G158" s="7" t="s">
        <v>18</v>
      </c>
      <c r="H158" s="42">
        <v>299.79000000000002</v>
      </c>
      <c r="I158" s="8">
        <v>0.08</v>
      </c>
      <c r="J158" s="42">
        <v>23.98</v>
      </c>
      <c r="K158" s="42">
        <v>323.77</v>
      </c>
      <c r="L158" s="7" t="s">
        <v>19</v>
      </c>
      <c r="M158" s="42">
        <v>323.77</v>
      </c>
      <c r="N158" s="7" t="s">
        <v>20</v>
      </c>
    </row>
    <row r="159" spans="1:14" x14ac:dyDescent="0.3">
      <c r="A159" s="5">
        <v>1168</v>
      </c>
      <c r="B159" s="6">
        <v>45996</v>
      </c>
      <c r="C159" s="7" t="s">
        <v>14</v>
      </c>
      <c r="D159" s="7" t="s">
        <v>45</v>
      </c>
      <c r="E159" s="7" t="s">
        <v>46</v>
      </c>
      <c r="F159" s="7" t="s">
        <v>47</v>
      </c>
      <c r="G159" s="7" t="s">
        <v>25</v>
      </c>
      <c r="H159" s="42">
        <v>180</v>
      </c>
      <c r="I159" s="8">
        <v>0</v>
      </c>
      <c r="J159" s="42">
        <v>0</v>
      </c>
      <c r="K159" s="42">
        <v>180</v>
      </c>
      <c r="L159" s="7" t="s">
        <v>44</v>
      </c>
      <c r="M159" s="42">
        <v>0</v>
      </c>
      <c r="N159" s="7" t="s">
        <v>20</v>
      </c>
    </row>
    <row r="160" spans="1:14" x14ac:dyDescent="0.3">
      <c r="A160" s="5">
        <v>1167</v>
      </c>
      <c r="B160" s="6">
        <v>45999</v>
      </c>
      <c r="C160" s="7" t="s">
        <v>14</v>
      </c>
      <c r="D160" s="7" t="s">
        <v>48</v>
      </c>
      <c r="E160" s="7" t="s">
        <v>49</v>
      </c>
      <c r="F160" s="7" t="s">
        <v>50</v>
      </c>
      <c r="G160" s="7" t="s">
        <v>25</v>
      </c>
      <c r="H160" s="42">
        <v>111.91</v>
      </c>
      <c r="I160" s="8">
        <v>0</v>
      </c>
      <c r="J160" s="42">
        <v>0</v>
      </c>
      <c r="K160" s="42">
        <v>111.91</v>
      </c>
      <c r="L160" s="7" t="s">
        <v>44</v>
      </c>
      <c r="M160" s="42">
        <v>0</v>
      </c>
      <c r="N160" s="7" t="s">
        <v>20</v>
      </c>
    </row>
    <row r="161" spans="1:14" x14ac:dyDescent="0.3">
      <c r="A161" s="5">
        <v>1161</v>
      </c>
      <c r="B161" s="6">
        <v>46000</v>
      </c>
      <c r="C161" s="7" t="s">
        <v>14</v>
      </c>
      <c r="D161" s="7" t="s">
        <v>36</v>
      </c>
      <c r="E161" s="7" t="s">
        <v>37</v>
      </c>
      <c r="F161" s="7" t="s">
        <v>38</v>
      </c>
      <c r="G161" s="7" t="s">
        <v>25</v>
      </c>
      <c r="H161" s="42">
        <v>1200</v>
      </c>
      <c r="I161" s="8">
        <v>0</v>
      </c>
      <c r="J161" s="42">
        <v>0</v>
      </c>
      <c r="K161" s="42">
        <v>1200</v>
      </c>
      <c r="L161" s="7" t="s">
        <v>19</v>
      </c>
      <c r="M161" s="42">
        <v>-1200</v>
      </c>
      <c r="N161" s="7" t="s">
        <v>20</v>
      </c>
    </row>
    <row r="162" spans="1:14" x14ac:dyDescent="0.3">
      <c r="A162" s="5">
        <v>1165</v>
      </c>
      <c r="B162" s="6">
        <v>46000</v>
      </c>
      <c r="C162" s="7" t="s">
        <v>14</v>
      </c>
      <c r="D162" s="7" t="s">
        <v>15</v>
      </c>
      <c r="E162" s="7" t="s">
        <v>16</v>
      </c>
      <c r="F162" s="7" t="s">
        <v>17</v>
      </c>
      <c r="G162" s="7" t="s">
        <v>39</v>
      </c>
      <c r="H162" s="42">
        <v>188.45</v>
      </c>
      <c r="I162" s="8">
        <v>0.08</v>
      </c>
      <c r="J162" s="42">
        <v>15.08</v>
      </c>
      <c r="K162" s="42">
        <v>203.53</v>
      </c>
      <c r="L162" s="7" t="s">
        <v>44</v>
      </c>
      <c r="M162" s="42">
        <v>0</v>
      </c>
      <c r="N162" s="7" t="s">
        <v>20</v>
      </c>
    </row>
    <row r="163" spans="1:14" x14ac:dyDescent="0.3">
      <c r="A163" s="5">
        <v>1156</v>
      </c>
      <c r="B163" s="6">
        <v>46003</v>
      </c>
      <c r="C163" s="7" t="s">
        <v>21</v>
      </c>
      <c r="D163" s="7" t="s">
        <v>30</v>
      </c>
      <c r="E163" s="7" t="s">
        <v>23</v>
      </c>
      <c r="F163" s="7" t="s">
        <v>58</v>
      </c>
      <c r="G163" s="7" t="s">
        <v>25</v>
      </c>
      <c r="H163" s="42">
        <v>510.76</v>
      </c>
      <c r="I163" s="8">
        <v>0.08</v>
      </c>
      <c r="J163" s="42">
        <v>40.86</v>
      </c>
      <c r="K163" s="42">
        <v>551.62</v>
      </c>
      <c r="L163" s="7" t="s">
        <v>19</v>
      </c>
      <c r="M163" s="42">
        <v>551.62</v>
      </c>
      <c r="N163" s="7" t="s">
        <v>20</v>
      </c>
    </row>
    <row r="164" spans="1:14" x14ac:dyDescent="0.3">
      <c r="A164" s="5">
        <v>1164</v>
      </c>
      <c r="B164" s="6">
        <v>46005</v>
      </c>
      <c r="C164" s="7" t="s">
        <v>14</v>
      </c>
      <c r="D164" s="7" t="s">
        <v>54</v>
      </c>
      <c r="E164" s="7" t="s">
        <v>55</v>
      </c>
      <c r="F164" s="7" t="s">
        <v>56</v>
      </c>
      <c r="G164" s="7" t="s">
        <v>39</v>
      </c>
      <c r="H164" s="42">
        <v>159.44999999999999</v>
      </c>
      <c r="I164" s="8">
        <v>0</v>
      </c>
      <c r="J164" s="42">
        <v>0</v>
      </c>
      <c r="K164" s="42">
        <v>159.44999999999999</v>
      </c>
      <c r="L164" s="7" t="s">
        <v>19</v>
      </c>
      <c r="M164" s="42">
        <v>-159.44999999999999</v>
      </c>
      <c r="N164" s="7" t="s">
        <v>20</v>
      </c>
    </row>
    <row r="165" spans="1:14" x14ac:dyDescent="0.3">
      <c r="A165" s="5">
        <v>1155</v>
      </c>
      <c r="B165" s="6">
        <v>46007</v>
      </c>
      <c r="C165" s="7" t="s">
        <v>21</v>
      </c>
      <c r="D165" s="7" t="s">
        <v>30</v>
      </c>
      <c r="E165" s="7" t="s">
        <v>23</v>
      </c>
      <c r="F165" s="7" t="s">
        <v>58</v>
      </c>
      <c r="G165" s="7" t="s">
        <v>25</v>
      </c>
      <c r="H165" s="42">
        <v>548.29999999999995</v>
      </c>
      <c r="I165" s="8">
        <v>0.08</v>
      </c>
      <c r="J165" s="42">
        <v>43.86</v>
      </c>
      <c r="K165" s="42">
        <v>592.16</v>
      </c>
      <c r="L165" s="7" t="s">
        <v>19</v>
      </c>
      <c r="M165" s="42">
        <v>592.16</v>
      </c>
      <c r="N165" s="7" t="s">
        <v>20</v>
      </c>
    </row>
    <row r="166" spans="1:14" x14ac:dyDescent="0.3">
      <c r="A166" s="5">
        <v>1163</v>
      </c>
      <c r="B166" s="6">
        <v>46010</v>
      </c>
      <c r="C166" s="7" t="s">
        <v>14</v>
      </c>
      <c r="D166" s="7" t="s">
        <v>51</v>
      </c>
      <c r="E166" s="7" t="s">
        <v>52</v>
      </c>
      <c r="F166" s="7" t="s">
        <v>53</v>
      </c>
      <c r="G166" s="7" t="s">
        <v>39</v>
      </c>
      <c r="H166" s="42">
        <v>448.06</v>
      </c>
      <c r="I166" s="8">
        <v>0.08</v>
      </c>
      <c r="J166" s="42">
        <v>35.840000000000003</v>
      </c>
      <c r="K166" s="42">
        <v>483.9</v>
      </c>
      <c r="L166" s="7" t="s">
        <v>19</v>
      </c>
      <c r="M166" s="42">
        <v>-483.9</v>
      </c>
      <c r="N166" s="7" t="s">
        <v>20</v>
      </c>
    </row>
    <row r="167" spans="1:14" x14ac:dyDescent="0.3">
      <c r="A167" s="5">
        <v>1158</v>
      </c>
      <c r="B167" s="6">
        <v>46010</v>
      </c>
      <c r="C167" s="7" t="s">
        <v>21</v>
      </c>
      <c r="D167" s="7" t="s">
        <v>26</v>
      </c>
      <c r="E167" s="7" t="s">
        <v>27</v>
      </c>
      <c r="F167" s="7" t="s">
        <v>57</v>
      </c>
      <c r="G167" s="7" t="s">
        <v>29</v>
      </c>
      <c r="H167" s="42">
        <v>158.18</v>
      </c>
      <c r="I167" s="8">
        <v>0.08</v>
      </c>
      <c r="J167" s="42">
        <v>12.65</v>
      </c>
      <c r="K167" s="42">
        <v>170.83</v>
      </c>
      <c r="L167" s="7" t="s">
        <v>19</v>
      </c>
      <c r="M167" s="42">
        <v>170.83</v>
      </c>
      <c r="N167" s="7" t="s">
        <v>20</v>
      </c>
    </row>
    <row r="168" spans="1:14" x14ac:dyDescent="0.3">
      <c r="A168" s="5">
        <v>1166</v>
      </c>
      <c r="B168" s="6">
        <v>46014</v>
      </c>
      <c r="C168" s="7" t="s">
        <v>14</v>
      </c>
      <c r="D168" s="7" t="s">
        <v>32</v>
      </c>
      <c r="E168" s="7" t="s">
        <v>33</v>
      </c>
      <c r="F168" s="7" t="s">
        <v>34</v>
      </c>
      <c r="G168" s="7" t="s">
        <v>25</v>
      </c>
      <c r="H168" s="42">
        <v>57.95</v>
      </c>
      <c r="I168" s="8">
        <v>0.08</v>
      </c>
      <c r="J168" s="42">
        <v>4.6399999999999997</v>
      </c>
      <c r="K168" s="42">
        <v>62.59</v>
      </c>
      <c r="L168" s="7" t="s">
        <v>19</v>
      </c>
      <c r="M168" s="42">
        <v>-62.59</v>
      </c>
      <c r="N168" s="7" t="s">
        <v>20</v>
      </c>
    </row>
    <row r="169" spans="1:14" x14ac:dyDescent="0.3">
      <c r="A169" s="5">
        <v>1162</v>
      </c>
      <c r="B169" s="6">
        <v>46015</v>
      </c>
      <c r="C169" s="7" t="s">
        <v>14</v>
      </c>
      <c r="D169" s="7" t="s">
        <v>41</v>
      </c>
      <c r="E169" s="7" t="s">
        <v>42</v>
      </c>
      <c r="F169" s="7" t="s">
        <v>43</v>
      </c>
      <c r="G169" s="7" t="s">
        <v>39</v>
      </c>
      <c r="H169" s="42">
        <v>105.07</v>
      </c>
      <c r="I169" s="8">
        <v>0.08</v>
      </c>
      <c r="J169" s="42">
        <v>8.41</v>
      </c>
      <c r="K169" s="42">
        <v>113.48</v>
      </c>
      <c r="L169" s="7" t="s">
        <v>19</v>
      </c>
      <c r="M169" s="42">
        <v>-113.48</v>
      </c>
      <c r="N169" s="7" t="s">
        <v>20</v>
      </c>
    </row>
  </sheetData>
  <conditionalFormatting sqref="L2:L169">
    <cfRule type="containsText" dxfId="24" priority="1" operator="containsText" text="Paid">
      <formula>NOT(ISERROR(SEARCH("Paid",L2)))</formula>
    </cfRule>
  </conditionalFormatting>
  <conditionalFormatting sqref="L2:L169">
    <cfRule type="containsText" dxfId="23" priority="2" operator="containsText" text="Pending">
      <formula>NOT(ISERROR(SEARCH("Pending",L2)))</formula>
    </cfRule>
  </conditionalFormatting>
  <conditionalFormatting sqref="A2:A169">
    <cfRule type="duplicateValues" dxfId="22" priority="3"/>
  </conditionalFormatting>
  <conditionalFormatting sqref="A2:N169">
    <cfRule type="expression" dxfId="21" priority="4">
      <formula>OR($A2="",$B2="",$C2="",$D2="",$H2="",$L2="")</formula>
    </cfRule>
  </conditionalFormatting>
  <conditionalFormatting sqref="J2:J169">
    <cfRule type="expression" dxfId="20" priority="5">
      <formula>ABS($J2-ROUND($H2*$I2,2))&gt;0.01</formula>
    </cfRule>
  </conditionalFormatting>
  <conditionalFormatting sqref="L2:L169">
    <cfRule type="containsText" dxfId="18" priority="6" operator="containsText" text="Paid">
      <formula>NOT(ISERROR(SEARCH("Paid",L2)))</formula>
    </cfRule>
  </conditionalFormatting>
  <conditionalFormatting sqref="L2:L169">
    <cfRule type="containsText" dxfId="17" priority="7" operator="containsText" text="Pending">
      <formula>NOT(ISERROR(SEARCH("Pending",L2)))</formula>
    </cfRule>
  </conditionalFormatting>
  <conditionalFormatting sqref="A2:A169">
    <cfRule type="duplicateValues" dxfId="16" priority="8"/>
  </conditionalFormatting>
  <conditionalFormatting sqref="A2:N169">
    <cfRule type="expression" dxfId="15" priority="9">
      <formula>OR($A2="",$B2="",$C2="",$D2="",$H2="",$L2="")</formula>
    </cfRule>
  </conditionalFormatting>
  <conditionalFormatting sqref="J2:J169">
    <cfRule type="expression" dxfId="14" priority="10">
      <formula>ABS($J2-ROUND($H2*$I2,2))&gt;0.01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29DCB-3874-4BA5-89AE-BB8F400746E6}">
  <dimension ref="A1:Z15"/>
  <sheetViews>
    <sheetView showGridLines="0" workbookViewId="0"/>
  </sheetViews>
  <sheetFormatPr defaultRowHeight="14.4" x14ac:dyDescent="0.3"/>
  <cols>
    <col min="1" max="1" width="17.5546875" customWidth="1"/>
    <col min="2" max="2" width="14.44140625" customWidth="1"/>
    <col min="3" max="16" width="17" customWidth="1"/>
    <col min="17" max="26" width="17" hidden="1" customWidth="1"/>
  </cols>
  <sheetData>
    <row r="1" spans="1:26" x14ac:dyDescent="0.3">
      <c r="A1" s="11" t="s">
        <v>127</v>
      </c>
      <c r="B1" s="11" t="s">
        <v>128</v>
      </c>
      <c r="C1" s="11" t="s">
        <v>129</v>
      </c>
      <c r="D1" s="11" t="s">
        <v>130</v>
      </c>
      <c r="E1" s="11" t="s">
        <v>131</v>
      </c>
      <c r="F1" s="11" t="s">
        <v>132</v>
      </c>
      <c r="G1" s="11" t="s">
        <v>92</v>
      </c>
      <c r="H1" s="11" t="s">
        <v>133</v>
      </c>
      <c r="I1" s="11" t="s">
        <v>93</v>
      </c>
      <c r="J1" s="11" t="s">
        <v>134</v>
      </c>
      <c r="K1" s="11" t="s">
        <v>135</v>
      </c>
      <c r="L1" s="11" t="s">
        <v>136</v>
      </c>
      <c r="M1" s="11" t="s">
        <v>137</v>
      </c>
      <c r="N1" s="11" t="s">
        <v>78</v>
      </c>
      <c r="O1" s="11" t="s">
        <v>138</v>
      </c>
      <c r="Q1" t="s">
        <v>140</v>
      </c>
      <c r="R1" t="s">
        <v>141</v>
      </c>
      <c r="S1" t="s">
        <v>142</v>
      </c>
      <c r="T1" t="s">
        <v>143</v>
      </c>
      <c r="U1" t="s">
        <v>144</v>
      </c>
      <c r="W1" t="s">
        <v>145</v>
      </c>
      <c r="X1" t="s">
        <v>146</v>
      </c>
      <c r="Y1" t="s">
        <v>92</v>
      </c>
      <c r="Z1" t="s">
        <v>147</v>
      </c>
    </row>
    <row r="2" spans="1:26" x14ac:dyDescent="0.3">
      <c r="A2" s="2">
        <f>DATE(Settings!$B$5,ROW()-1,1)</f>
        <v>45658</v>
      </c>
      <c r="B2" s="1" t="str">
        <f>TEXT(A2,"mmm")</f>
        <v>Jan</v>
      </c>
      <c r="C2" s="45" cm="1">
        <f t="array" ref="C2">SUMPRODUCT((YEAR(tblTransactions[Date])=Settings!$B$5)*(MONTH(tblTransactions[Date])=MONTH($A2))*(IF(Dashboard!$B$5="All",1,tblTransactions[Category]=Dashboard!$B$5))*(IF(Dashboard!$G$5="All",1,tblTransactions[Transaction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2439.8000000000002</v>
      </c>
      <c r="D2" s="45" cm="1">
        <f t="array" ref="D2">SUMPRODUCT((YEAR(tblTransactions[Date])=Settings!$B$5)*(MONTH(tblTransactions[Date])=MONTH($A2))*(IF(Dashboard!$B$5="All",1,tblTransactions[Category]=Dashboard!$B$5))*(IF(Dashboard!$G$5="All",1,tblTransactions[Transaction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2536.2600000000002</v>
      </c>
      <c r="E2" s="45">
        <f>C2-D2</f>
        <v>-96.460000000000036</v>
      </c>
      <c r="F2" s="3">
        <f>IF(C2=0,"N/A",E2/C2)</f>
        <v>-3.9536027543241259E-2</v>
      </c>
      <c r="G2" s="45">
        <f>IF(COUNTIFS(tblBudget[Month],A2)=0,"",SUMIFS(tblBudget[Revenue Budget],tblBudget[Month],A2))</f>
        <v>5500</v>
      </c>
      <c r="H2" s="45">
        <f>IF(G2="","",C2-G2)</f>
        <v>-3060.2</v>
      </c>
      <c r="I2" s="45">
        <f>IF(COUNTIFS(tblBudget[Month],A2)=0,"",SUMIFS(tblBudget[Expense Budget],tblBudget[Month],A2))</f>
        <v>4200</v>
      </c>
      <c r="J2" s="45">
        <f>IF(I2="","",D2-I2)</f>
        <v>-1663.7399999999998</v>
      </c>
      <c r="K2" s="45" cm="1">
        <f t="array" ref="K2">SUMPRODUCT((YEAR(tblTransactions[Date])=Settings!$B$5)*(MONTH(tblTransactions[Date])=MONTH($A2))*(IF(Dashboard!$B$5="All",1,tblTransactions[Category]=Dashboard!$B$5))*(IF(Dashboard!$G$5="All",1,tblTransactions[Transaction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2634.98</v>
      </c>
      <c r="L2" s="45" cm="1">
        <f t="array" ref="L2">-SUMPRODUCT((YEAR(tblTransactions[Date])=Settings!$B$5)*(MONTH(tblTransactions[Date])=MONTH($A2))*(IF(Dashboard!$B$5="All",1,tblTransactions[Category]=Dashboard!$B$5))*(IF(Dashboard!$G$5="All",1,tblTransactions[Transaction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2476.2400000000002</v>
      </c>
      <c r="M2" s="45">
        <f>K2-L2</f>
        <v>158.73999999999978</v>
      </c>
      <c r="N2" s="45">
        <f>Settings!$B$9</f>
        <v>10000</v>
      </c>
      <c r="O2" s="45">
        <f>N2+M2</f>
        <v>10158.74</v>
      </c>
      <c r="Q2" t="s">
        <v>45</v>
      </c>
      <c r="R2" s="41" cm="1">
        <f t="array" ref="R2">SUMPRODUCT((YEAR(tblTransactions[Date])=Settings!$B$5)*(tblTransactions[Transaction Type]="Expense")*(tblTransactions[Category]=Q2)*(IF(Dashboard!$J$5="All",1,tblTransactions[Payment Status]=Dashboard!$J$5))*tblTransactions[Amount])</f>
        <v>2160</v>
      </c>
      <c r="S2">
        <f>_xlfn.RANK.EQ(R2,$R$2:$R$9,0)+COUNTIF($R$2:R2,R2)-1</f>
        <v>3</v>
      </c>
      <c r="T2" t="str">
        <f>INDEX($Q$2:$Q$9,MATCH(ROW(A1),$S$2:$S$9,0))</f>
        <v>Rent</v>
      </c>
      <c r="U2" s="41">
        <f>INDEX($R$2:$R$9,MATCH(ROW(A1),$S$2:$S$9,0))</f>
        <v>14400</v>
      </c>
      <c r="W2" s="41">
        <f>IF(E2&gt;=0,E2,0)</f>
        <v>0</v>
      </c>
      <c r="X2" s="41">
        <f>IF(E2&lt;0,E2,0)</f>
        <v>-96.460000000000036</v>
      </c>
      <c r="Y2" s="41">
        <f>G2</f>
        <v>5500</v>
      </c>
      <c r="Z2" s="41">
        <f>C2</f>
        <v>2439.8000000000002</v>
      </c>
    </row>
    <row r="3" spans="1:26" x14ac:dyDescent="0.3">
      <c r="A3" s="2">
        <f>DATE(Settings!$B$5,ROW()-1,1)</f>
        <v>45689</v>
      </c>
      <c r="B3" s="1" t="str">
        <f t="shared" ref="B3:B13" si="0">TEXT(A3,"mmm")</f>
        <v>Feb</v>
      </c>
      <c r="C3" s="45" cm="1">
        <f t="array" ref="C3">SUMPRODUCT((YEAR(tblTransactions[Date])=Settings!$B$5)*(MONTH(tblTransactions[Date])=MONTH($A3))*(IF(Dashboard!$B$5="All",1,tblTransactions[Category]=Dashboard!$B$5))*(IF(Dashboard!$G$5="All",1,tblTransactions[Transaction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1773.07</v>
      </c>
      <c r="D3" s="45" cm="1">
        <f t="array" ref="D3">SUMPRODUCT((YEAR(tblTransactions[Date])=Settings!$B$5)*(MONTH(tblTransactions[Date])=MONTH($A3))*(IF(Dashboard!$B$5="All",1,tblTransactions[Category]=Dashboard!$B$5))*(IF(Dashboard!$G$5="All",1,tblTransactions[Transaction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2504.3200000000002</v>
      </c>
      <c r="E3" s="45">
        <f t="shared" ref="E3:E13" si="1">C3-D3</f>
        <v>-731.25000000000023</v>
      </c>
      <c r="F3" s="3">
        <f t="shared" ref="F3:F13" si="2">IF(C3=0,"N/A",E3/C3)</f>
        <v>-0.41242026541535315</v>
      </c>
      <c r="G3" s="45">
        <f>IF(COUNTIFS(tblBudget[Month],A3)=0,"",SUMIFS(tblBudget[Revenue Budget],tblBudget[Month],A3))</f>
        <v>5625</v>
      </c>
      <c r="H3" s="45">
        <f t="shared" ref="H3:H13" si="3">IF(G3="","",C3-G3)</f>
        <v>-3851.9300000000003</v>
      </c>
      <c r="I3" s="45">
        <f>IF(COUNTIFS(tblBudget[Month],A3)=0,"",SUMIFS(tblBudget[Expense Budget],tblBudget[Month],A3))</f>
        <v>4245</v>
      </c>
      <c r="J3" s="45">
        <f t="shared" ref="J3:J13" si="4">IF(I3="","",D3-I3)</f>
        <v>-1740.6799999999998</v>
      </c>
      <c r="K3" s="45" cm="1">
        <f t="array" ref="K3">SUMPRODUCT((YEAR(tblTransactions[Date])=Settings!$B$5)*(MONTH(tblTransactions[Date])=MONTH($A3))*(IF(Dashboard!$B$5="All",1,tblTransactions[Category]=Dashboard!$B$5))*(IF(Dashboard!$G$5="All",1,tblTransactions[Transaction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1523.54</v>
      </c>
      <c r="L3" s="45" cm="1">
        <f t="array" ref="L3">-SUMPRODUCT((YEAR(tblTransactions[Date])=Settings!$B$5)*(MONTH(tblTransactions[Date])=MONTH($A3))*(IF(Dashboard!$B$5="All",1,tblTransactions[Category]=Dashboard!$B$5))*(IF(Dashboard!$G$5="All",1,tblTransactions[Transaction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1040.78</v>
      </c>
      <c r="M3" s="45">
        <f t="shared" ref="M3:M13" si="5">K3-L3</f>
        <v>482.76</v>
      </c>
      <c r="N3" s="45">
        <f>O2</f>
        <v>10158.74</v>
      </c>
      <c r="O3" s="45">
        <f t="shared" ref="O3:O13" si="6">N3+M3</f>
        <v>10641.5</v>
      </c>
      <c r="Q3" t="s">
        <v>51</v>
      </c>
      <c r="R3" s="41" cm="1">
        <f t="array" ref="R3">SUMPRODUCT((YEAR(tblTransactions[Date])=Settings!$B$5)*(tblTransactions[Transaction Type]="Expense")*(tblTransactions[Category]=Q3)*(IF(Dashboard!$J$5="All",1,tblTransactions[Payment Status]=Dashboard!$J$5))*tblTransactions[Amount])</f>
        <v>5049.8999999999996</v>
      </c>
      <c r="S3">
        <f>_xlfn.RANK.EQ(R3,$R$2:$R$9,0)+COUNTIF($R$2:R3,R3)-1</f>
        <v>2</v>
      </c>
      <c r="T3" t="str">
        <f t="shared" ref="T3:T9" si="7">INDEX($Q$2:$Q$9,MATCH(ROW(A2),$S$2:$S$9,0))</f>
        <v>Marketing</v>
      </c>
      <c r="U3" s="41">
        <f t="shared" ref="U3:U9" si="8">INDEX($R$2:$R$9,MATCH(ROW(A2),$S$2:$S$9,0))</f>
        <v>5049.8999999999996</v>
      </c>
      <c r="W3" s="41">
        <f t="shared" ref="W3:W13" si="9">IF(E3&gt;=0,E3,0)</f>
        <v>0</v>
      </c>
      <c r="X3" s="41">
        <f t="shared" ref="X3:X13" si="10">IF(E3&lt;0,E3,0)</f>
        <v>-731.25000000000023</v>
      </c>
      <c r="Y3" s="41">
        <f t="shared" ref="Y3:Y13" si="11">G3</f>
        <v>5625</v>
      </c>
      <c r="Z3" s="41">
        <f t="shared" ref="Z3:Z13" si="12">C3</f>
        <v>1773.07</v>
      </c>
    </row>
    <row r="4" spans="1:26" x14ac:dyDescent="0.3">
      <c r="A4" s="2">
        <f>DATE(Settings!$B$5,ROW()-1,1)</f>
        <v>45717</v>
      </c>
      <c r="B4" s="1" t="str">
        <f t="shared" si="0"/>
        <v>Mar</v>
      </c>
      <c r="C4" s="45" cm="1">
        <f t="array" ref="C4">SUMPRODUCT((YEAR(tblTransactions[Date])=Settings!$B$5)*(MONTH(tblTransactions[Date])=MONTH($A4))*(IF(Dashboard!$B$5="All",1,tblTransactions[Category]=Dashboard!$B$5))*(IF(Dashboard!$G$5="All",1,tblTransactions[Transaction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2162.86</v>
      </c>
      <c r="D4" s="45" cm="1">
        <f t="array" ref="D4">SUMPRODUCT((YEAR(tblTransactions[Date])=Settings!$B$5)*(MONTH(tblTransactions[Date])=MONTH($A4))*(IF(Dashboard!$B$5="All",1,tblTransactions[Category]=Dashboard!$B$5))*(IF(Dashboard!$G$5="All",1,tblTransactions[Transaction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2204.88</v>
      </c>
      <c r="E4" s="45">
        <f t="shared" si="1"/>
        <v>-42.019999999999982</v>
      </c>
      <c r="F4" s="3">
        <f t="shared" si="2"/>
        <v>-1.9427979619577773E-2</v>
      </c>
      <c r="G4" s="45">
        <f>IF(COUNTIFS(tblBudget[Month],A4)=0,"",SUMIFS(tblBudget[Revenue Budget],tblBudget[Month],A4))</f>
        <v>5750</v>
      </c>
      <c r="H4" s="45">
        <f t="shared" si="3"/>
        <v>-3587.14</v>
      </c>
      <c r="I4" s="45">
        <f>IF(COUNTIFS(tblBudget[Month],A4)=0,"",SUMIFS(tblBudget[Expense Budget],tblBudget[Month],A4))</f>
        <v>4290</v>
      </c>
      <c r="J4" s="45">
        <f t="shared" si="4"/>
        <v>-2085.12</v>
      </c>
      <c r="K4" s="45" cm="1">
        <f t="array" ref="K4">SUMPRODUCT((YEAR(tblTransactions[Date])=Settings!$B$5)*(MONTH(tblTransactions[Date])=MONTH($A4))*(IF(Dashboard!$B$5="All",1,tblTransactions[Category]=Dashboard!$B$5))*(IF(Dashboard!$G$5="All",1,tblTransactions[Transaction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2335.88</v>
      </c>
      <c r="L4" s="45" cm="1">
        <f t="array" ref="L4">-SUMPRODUCT((YEAR(tblTransactions[Date])=Settings!$B$5)*(MONTH(tblTransactions[Date])=MONTH($A4))*(IF(Dashboard!$B$5="All",1,tblTransactions[Category]=Dashboard!$B$5))*(IF(Dashboard!$G$5="All",1,tblTransactions[Transaction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1964.4699999999998</v>
      </c>
      <c r="M4" s="45">
        <f t="shared" si="5"/>
        <v>371.41000000000031</v>
      </c>
      <c r="N4" s="45">
        <f t="shared" ref="N4:N13" si="13">O3</f>
        <v>10641.5</v>
      </c>
      <c r="O4" s="45">
        <f t="shared" si="6"/>
        <v>11012.91</v>
      </c>
      <c r="Q4" t="s">
        <v>15</v>
      </c>
      <c r="R4" s="41" cm="1">
        <f t="array" ref="R4">SUMPRODUCT((YEAR(tblTransactions[Date])=Settings!$B$5)*(tblTransactions[Transaction Type]="Expense")*(tblTransactions[Category]=Q4)*(IF(Dashboard!$J$5="All",1,tblTransactions[Payment Status]=Dashboard!$J$5))*tblTransactions[Amount])</f>
        <v>1497.3000000000002</v>
      </c>
      <c r="S4">
        <f>_xlfn.RANK.EQ(R4,$R$2:$R$9,0)+COUNTIF($R$2:R4,R4)-1</f>
        <v>7</v>
      </c>
      <c r="T4" t="str">
        <f t="shared" si="7"/>
        <v>Insurance</v>
      </c>
      <c r="U4" s="41">
        <f t="shared" si="8"/>
        <v>2160</v>
      </c>
      <c r="W4" s="41">
        <f t="shared" si="9"/>
        <v>0</v>
      </c>
      <c r="X4" s="41">
        <f t="shared" si="10"/>
        <v>-42.019999999999982</v>
      </c>
      <c r="Y4" s="41">
        <f t="shared" si="11"/>
        <v>5750</v>
      </c>
      <c r="Z4" s="41">
        <f t="shared" si="12"/>
        <v>2162.86</v>
      </c>
    </row>
    <row r="5" spans="1:26" x14ac:dyDescent="0.3">
      <c r="A5" s="2">
        <f>DATE(Settings!$B$5,ROW()-1,1)</f>
        <v>45748</v>
      </c>
      <c r="B5" s="1" t="str">
        <f t="shared" si="0"/>
        <v>Apr</v>
      </c>
      <c r="C5" s="45" cm="1">
        <f t="array" ref="C5">SUMPRODUCT((YEAR(tblTransactions[Date])=Settings!$B$5)*(MONTH(tblTransactions[Date])=MONTH($A5))*(IF(Dashboard!$B$5="All",1,tblTransactions[Category]=Dashboard!$B$5))*(IF(Dashboard!$G$5="All",1,tblTransactions[Transaction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1588.42</v>
      </c>
      <c r="D5" s="45" cm="1">
        <f t="array" ref="D5">SUMPRODUCT((YEAR(tblTransactions[Date])=Settings!$B$5)*(MONTH(tblTransactions[Date])=MONTH($A5))*(IF(Dashboard!$B$5="All",1,tblTransactions[Category]=Dashboard!$B$5))*(IF(Dashboard!$G$5="All",1,tblTransactions[Transaction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2730.22</v>
      </c>
      <c r="E5" s="45">
        <f t="shared" si="1"/>
        <v>-1141.7999999999997</v>
      </c>
      <c r="F5" s="3">
        <f t="shared" si="2"/>
        <v>-0.71882751413354129</v>
      </c>
      <c r="G5" s="45">
        <f>IF(COUNTIFS(tblBudget[Month],A5)=0,"",SUMIFS(tblBudget[Revenue Budget],tblBudget[Month],A5))</f>
        <v>5875</v>
      </c>
      <c r="H5" s="45">
        <f t="shared" si="3"/>
        <v>-4286.58</v>
      </c>
      <c r="I5" s="45">
        <f>IF(COUNTIFS(tblBudget[Month],A5)=0,"",SUMIFS(tblBudget[Expense Budget],tblBudget[Month],A5))</f>
        <v>4335</v>
      </c>
      <c r="J5" s="45">
        <f t="shared" si="4"/>
        <v>-1604.7800000000002</v>
      </c>
      <c r="K5" s="45" cm="1">
        <f t="array" ref="K5">SUMPRODUCT((YEAR(tblTransactions[Date])=Settings!$B$5)*(MONTH(tblTransactions[Date])=MONTH($A5))*(IF(Dashboard!$B$5="All",1,tblTransactions[Category]=Dashboard!$B$5))*(IF(Dashboard!$G$5="All",1,tblTransactions[Transaction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1226.79</v>
      </c>
      <c r="L5" s="45" cm="1">
        <f t="array" ref="L5">-SUMPRODUCT((YEAR(tblTransactions[Date])=Settings!$B$5)*(MONTH(tblTransactions[Date])=MONTH($A5))*(IF(Dashboard!$B$5="All",1,tblTransactions[Category]=Dashboard!$B$5))*(IF(Dashboard!$G$5="All",1,tblTransactions[Transaction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2622.74</v>
      </c>
      <c r="M5" s="45">
        <f t="shared" si="5"/>
        <v>-1395.9499999999998</v>
      </c>
      <c r="N5" s="45">
        <f t="shared" si="13"/>
        <v>11012.91</v>
      </c>
      <c r="O5" s="45">
        <f t="shared" si="6"/>
        <v>9616.9599999999991</v>
      </c>
      <c r="Q5" t="s">
        <v>48</v>
      </c>
      <c r="R5" s="41" cm="1">
        <f t="array" ref="R5">SUMPRODUCT((YEAR(tblTransactions[Date])=Settings!$B$5)*(tblTransactions[Transaction Type]="Expense")*(tblTransactions[Category]=Q5)*(IF(Dashboard!$J$5="All",1,tblTransactions[Payment Status]=Dashboard!$J$5))*tblTransactions[Amount])</f>
        <v>1247.6299999999999</v>
      </c>
      <c r="S5">
        <f>_xlfn.RANK.EQ(R5,$R$2:$R$9,0)+COUNTIF($R$2:R5,R5)-1</f>
        <v>8</v>
      </c>
      <c r="T5" t="str">
        <f t="shared" si="7"/>
        <v>Utilities</v>
      </c>
      <c r="U5" s="41">
        <f t="shared" si="8"/>
        <v>2151.85</v>
      </c>
      <c r="W5" s="41">
        <f t="shared" si="9"/>
        <v>0</v>
      </c>
      <c r="X5" s="41">
        <f t="shared" si="10"/>
        <v>-1141.7999999999997</v>
      </c>
      <c r="Y5" s="41">
        <f t="shared" si="11"/>
        <v>5875</v>
      </c>
      <c r="Z5" s="41">
        <f t="shared" si="12"/>
        <v>1588.42</v>
      </c>
    </row>
    <row r="6" spans="1:26" x14ac:dyDescent="0.3">
      <c r="A6" s="2">
        <f>DATE(Settings!$B$5,ROW()-1,1)</f>
        <v>45778</v>
      </c>
      <c r="B6" s="1" t="str">
        <f t="shared" si="0"/>
        <v>May</v>
      </c>
      <c r="C6" s="45" cm="1">
        <f t="array" ref="C6">SUMPRODUCT((YEAR(tblTransactions[Date])=Settings!$B$5)*(MONTH(tblTransactions[Date])=MONTH($A6))*(IF(Dashboard!$B$5="All",1,tblTransactions[Category]=Dashboard!$B$5))*(IF(Dashboard!$G$5="All",1,tblTransactions[Transaction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2678.0600000000004</v>
      </c>
      <c r="D6" s="45" cm="1">
        <f t="array" ref="D6">SUMPRODUCT((YEAR(tblTransactions[Date])=Settings!$B$5)*(MONTH(tblTransactions[Date])=MONTH($A6))*(IF(Dashboard!$B$5="All",1,tblTransactions[Category]=Dashboard!$B$5))*(IF(Dashboard!$G$5="All",1,tblTransactions[Transaction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2445.87</v>
      </c>
      <c r="E6" s="45">
        <f t="shared" si="1"/>
        <v>232.19000000000051</v>
      </c>
      <c r="F6" s="3">
        <f t="shared" si="2"/>
        <v>8.670082074337411E-2</v>
      </c>
      <c r="G6" s="45">
        <f>IF(COUNTIFS(tblBudget[Month],A6)=0,"",SUMIFS(tblBudget[Revenue Budget],tblBudget[Month],A6))</f>
        <v>6000</v>
      </c>
      <c r="H6" s="45">
        <f t="shared" si="3"/>
        <v>-3321.9399999999996</v>
      </c>
      <c r="I6" s="45">
        <f>IF(COUNTIFS(tblBudget[Month],A6)=0,"",SUMIFS(tblBudget[Expense Budget],tblBudget[Month],A6))</f>
        <v>4380</v>
      </c>
      <c r="J6" s="45">
        <f t="shared" si="4"/>
        <v>-1934.13</v>
      </c>
      <c r="K6" s="45" cm="1">
        <f t="array" ref="K6">SUMPRODUCT((YEAR(tblTransactions[Date])=Settings!$B$5)*(MONTH(tblTransactions[Date])=MONTH($A6))*(IF(Dashboard!$B$5="All",1,tblTransactions[Category]=Dashboard!$B$5))*(IF(Dashboard!$G$5="All",1,tblTransactions[Transaction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2892.2999999999997</v>
      </c>
      <c r="L6" s="45" cm="1">
        <f t="array" ref="L6">-SUMPRODUCT((YEAR(tblTransactions[Date])=Settings!$B$5)*(MONTH(tblTransactions[Date])=MONTH($A6))*(IF(Dashboard!$B$5="All",1,tblTransactions[Category]=Dashboard!$B$5))*(IF(Dashboard!$G$5="All",1,tblTransactions[Transaction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1785.57</v>
      </c>
      <c r="M6" s="45">
        <f t="shared" si="5"/>
        <v>1106.7299999999998</v>
      </c>
      <c r="N6" s="45">
        <f t="shared" si="13"/>
        <v>9616.9599999999991</v>
      </c>
      <c r="O6" s="45">
        <f t="shared" si="6"/>
        <v>10723.689999999999</v>
      </c>
      <c r="Q6" t="s">
        <v>36</v>
      </c>
      <c r="R6" s="41" cm="1">
        <f t="array" ref="R6">SUMPRODUCT((YEAR(tblTransactions[Date])=Settings!$B$5)*(tblTransactions[Transaction Type]="Expense")*(tblTransactions[Category]=Q6)*(IF(Dashboard!$J$5="All",1,tblTransactions[Payment Status]=Dashboard!$J$5))*tblTransactions[Amount])</f>
        <v>14400</v>
      </c>
      <c r="S6">
        <f>_xlfn.RANK.EQ(R6,$R$2:$R$9,0)+COUNTIF($R$2:R6,R6)-1</f>
        <v>1</v>
      </c>
      <c r="T6" t="str">
        <f t="shared" si="7"/>
        <v>Shipping</v>
      </c>
      <c r="U6" s="41">
        <f t="shared" si="8"/>
        <v>1739.6700000000003</v>
      </c>
      <c r="W6" s="41">
        <f t="shared" si="9"/>
        <v>232.19000000000051</v>
      </c>
      <c r="X6" s="41">
        <f t="shared" si="10"/>
        <v>0</v>
      </c>
      <c r="Y6" s="41">
        <f t="shared" si="11"/>
        <v>6000</v>
      </c>
      <c r="Z6" s="41">
        <f t="shared" si="12"/>
        <v>2678.0600000000004</v>
      </c>
    </row>
    <row r="7" spans="1:26" x14ac:dyDescent="0.3">
      <c r="A7" s="2">
        <f>DATE(Settings!$B$5,ROW()-1,1)</f>
        <v>45809</v>
      </c>
      <c r="B7" s="1" t="str">
        <f t="shared" si="0"/>
        <v>Jun</v>
      </c>
      <c r="C7" s="45" cm="1">
        <f t="array" ref="C7">SUMPRODUCT((YEAR(tblTransactions[Date])=Settings!$B$5)*(MONTH(tblTransactions[Date])=MONTH($A7))*(IF(Dashboard!$B$5="All",1,tblTransactions[Category]=Dashboard!$B$5))*(IF(Dashboard!$G$5="All",1,tblTransactions[Transaction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2908.1</v>
      </c>
      <c r="D7" s="45" cm="1">
        <f t="array" ref="D7">SUMPRODUCT((YEAR(tblTransactions[Date])=Settings!$B$5)*(MONTH(tblTransactions[Date])=MONTH($A7))*(IF(Dashboard!$B$5="All",1,tblTransactions[Category]=Dashboard!$B$5))*(IF(Dashboard!$G$5="All",1,tblTransactions[Transaction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2918.3199999999997</v>
      </c>
      <c r="E7" s="45">
        <f t="shared" si="1"/>
        <v>-10.2199999999998</v>
      </c>
      <c r="F7" s="3">
        <f t="shared" si="2"/>
        <v>-3.5143220659536469E-3</v>
      </c>
      <c r="G7" s="45">
        <f>IF(COUNTIFS(tblBudget[Month],A7)=0,"",SUMIFS(tblBudget[Revenue Budget],tblBudget[Month],A7))</f>
        <v>6125</v>
      </c>
      <c r="H7" s="45">
        <f t="shared" si="3"/>
        <v>-3216.9</v>
      </c>
      <c r="I7" s="45">
        <f>IF(COUNTIFS(tblBudget[Month],A7)=0,"",SUMIFS(tblBudget[Expense Budget],tblBudget[Month],A7))</f>
        <v>4425</v>
      </c>
      <c r="J7" s="45">
        <f t="shared" si="4"/>
        <v>-1506.6800000000003</v>
      </c>
      <c r="K7" s="45" cm="1">
        <f t="array" ref="K7">SUMPRODUCT((YEAR(tblTransactions[Date])=Settings!$B$5)*(MONTH(tblTransactions[Date])=MONTH($A7))*(IF(Dashboard!$B$5="All",1,tblTransactions[Category]=Dashboard!$B$5))*(IF(Dashboard!$G$5="All",1,tblTransactions[Transaction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2577.6600000000003</v>
      </c>
      <c r="L7" s="45" cm="1">
        <f t="array" ref="L7">-SUMPRODUCT((YEAR(tblTransactions[Date])=Settings!$B$5)*(MONTH(tblTransactions[Date])=MONTH($A7))*(IF(Dashboard!$B$5="All",1,tblTransactions[Category]=Dashboard!$B$5))*(IF(Dashboard!$G$5="All",1,tblTransactions[Transaction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1820.35</v>
      </c>
      <c r="M7" s="45">
        <f t="shared" si="5"/>
        <v>757.3100000000004</v>
      </c>
      <c r="N7" s="45">
        <f t="shared" si="13"/>
        <v>10723.689999999999</v>
      </c>
      <c r="O7" s="45">
        <f t="shared" si="6"/>
        <v>11481</v>
      </c>
      <c r="Q7" t="s">
        <v>32</v>
      </c>
      <c r="R7" s="41" cm="1">
        <f t="array" ref="R7">SUMPRODUCT((YEAR(tblTransactions[Date])=Settings!$B$5)*(tblTransactions[Transaction Type]="Expense")*(tblTransactions[Category]=Q7)*(IF(Dashboard!$J$5="All",1,tblTransactions[Payment Status]=Dashboard!$J$5))*tblTransactions[Amount])</f>
        <v>1739.6700000000003</v>
      </c>
      <c r="S7">
        <f>_xlfn.RANK.EQ(R7,$R$2:$R$9,0)+COUNTIF($R$2:R7,R7)-1</f>
        <v>5</v>
      </c>
      <c r="T7" t="str">
        <f t="shared" si="7"/>
        <v>Software</v>
      </c>
      <c r="U7" s="41">
        <f t="shared" si="8"/>
        <v>1606.67</v>
      </c>
      <c r="W7" s="41">
        <f t="shared" si="9"/>
        <v>0</v>
      </c>
      <c r="X7" s="41">
        <f t="shared" si="10"/>
        <v>-10.2199999999998</v>
      </c>
      <c r="Y7" s="41">
        <f t="shared" si="11"/>
        <v>6125</v>
      </c>
      <c r="Z7" s="41">
        <f t="shared" si="12"/>
        <v>2908.1</v>
      </c>
    </row>
    <row r="8" spans="1:26" x14ac:dyDescent="0.3">
      <c r="A8" s="2">
        <f>DATE(Settings!$B$5,ROW()-1,1)</f>
        <v>45839</v>
      </c>
      <c r="B8" s="1" t="str">
        <f t="shared" si="0"/>
        <v>Jul</v>
      </c>
      <c r="C8" s="45" cm="1">
        <f t="array" ref="C8">SUMPRODUCT((YEAR(tblTransactions[Date])=Settings!$B$5)*(MONTH(tblTransactions[Date])=MONTH($A8))*(IF(Dashboard!$B$5="All",1,tblTransactions[Category]=Dashboard!$B$5))*(IF(Dashboard!$G$5="All",1,tblTransactions[Transaction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2963.74</v>
      </c>
      <c r="D8" s="45" cm="1">
        <f t="array" ref="D8">SUMPRODUCT((YEAR(tblTransactions[Date])=Settings!$B$5)*(MONTH(tblTransactions[Date])=MONTH($A8))*(IF(Dashboard!$B$5="All",1,tblTransactions[Category]=Dashboard!$B$5))*(IF(Dashboard!$G$5="All",1,tblTransactions[Transaction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2281.65</v>
      </c>
      <c r="E8" s="45">
        <f t="shared" si="1"/>
        <v>682.08999999999969</v>
      </c>
      <c r="F8" s="3">
        <f t="shared" si="2"/>
        <v>0.23014501946864427</v>
      </c>
      <c r="G8" s="45">
        <f>IF(COUNTIFS(tblBudget[Month],A8)=0,"",SUMIFS(tblBudget[Revenue Budget],tblBudget[Month],A8))</f>
        <v>6250</v>
      </c>
      <c r="H8" s="45">
        <f t="shared" si="3"/>
        <v>-3286.26</v>
      </c>
      <c r="I8" s="45">
        <f>IF(COUNTIFS(tblBudget[Month],A8)=0,"",SUMIFS(tblBudget[Expense Budget],tblBudget[Month],A8))</f>
        <v>4470</v>
      </c>
      <c r="J8" s="45">
        <f t="shared" si="4"/>
        <v>-2188.35</v>
      </c>
      <c r="K8" s="45" cm="1">
        <f t="array" ref="K8">SUMPRODUCT((YEAR(tblTransactions[Date])=Settings!$B$5)*(MONTH(tblTransactions[Date])=MONTH($A8))*(IF(Dashboard!$B$5="All",1,tblTransactions[Category]=Dashboard!$B$5))*(IF(Dashboard!$G$5="All",1,tblTransactions[Transaction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2167.5700000000002</v>
      </c>
      <c r="L8" s="45" cm="1">
        <f t="array" ref="L8">-SUMPRODUCT((YEAR(tblTransactions[Date])=Settings!$B$5)*(MONTH(tblTransactions[Date])=MONTH($A8))*(IF(Dashboard!$B$5="All",1,tblTransactions[Category]=Dashboard!$B$5))*(IF(Dashboard!$G$5="All",1,tblTransactions[Transaction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665.49</v>
      </c>
      <c r="M8" s="45">
        <f t="shared" si="5"/>
        <v>1502.0800000000002</v>
      </c>
      <c r="N8" s="45">
        <f t="shared" si="13"/>
        <v>11481</v>
      </c>
      <c r="O8" s="45">
        <f t="shared" si="6"/>
        <v>12983.08</v>
      </c>
      <c r="Q8" t="s">
        <v>41</v>
      </c>
      <c r="R8" s="41" cm="1">
        <f t="array" ref="R8">SUMPRODUCT((YEAR(tblTransactions[Date])=Settings!$B$5)*(tblTransactions[Transaction Type]="Expense")*(tblTransactions[Category]=Q8)*(IF(Dashboard!$J$5="All",1,tblTransactions[Payment Status]=Dashboard!$J$5))*tblTransactions[Amount])</f>
        <v>1606.67</v>
      </c>
      <c r="S8">
        <f>_xlfn.RANK.EQ(R8,$R$2:$R$9,0)+COUNTIF($R$2:R8,R8)-1</f>
        <v>6</v>
      </c>
      <c r="T8" t="str">
        <f t="shared" si="7"/>
        <v>Office Supplies</v>
      </c>
      <c r="U8" s="41">
        <f t="shared" si="8"/>
        <v>1497.3000000000002</v>
      </c>
      <c r="W8" s="41">
        <f t="shared" si="9"/>
        <v>682.08999999999969</v>
      </c>
      <c r="X8" s="41">
        <f t="shared" si="10"/>
        <v>0</v>
      </c>
      <c r="Y8" s="41">
        <f t="shared" si="11"/>
        <v>6250</v>
      </c>
      <c r="Z8" s="41">
        <f t="shared" si="12"/>
        <v>2963.74</v>
      </c>
    </row>
    <row r="9" spans="1:26" x14ac:dyDescent="0.3">
      <c r="A9" s="2">
        <f>DATE(Settings!$B$5,ROW()-1,1)</f>
        <v>45870</v>
      </c>
      <c r="B9" s="1" t="str">
        <f t="shared" si="0"/>
        <v>Aug</v>
      </c>
      <c r="C9" s="45" cm="1">
        <f t="array" ref="C9">SUMPRODUCT((YEAR(tblTransactions[Date])=Settings!$B$5)*(MONTH(tblTransactions[Date])=MONTH($A9))*(IF(Dashboard!$B$5="All",1,tblTransactions[Category]=Dashboard!$B$5))*(IF(Dashboard!$G$5="All",1,tblTransactions[Transaction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2822.1400000000003</v>
      </c>
      <c r="D9" s="45" cm="1">
        <f t="array" ref="D9">SUMPRODUCT((YEAR(tblTransactions[Date])=Settings!$B$5)*(MONTH(tblTransactions[Date])=MONTH($A9))*(IF(Dashboard!$B$5="All",1,tblTransactions[Category]=Dashboard!$B$5))*(IF(Dashboard!$G$5="All",1,tblTransactions[Transaction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2538.48</v>
      </c>
      <c r="E9" s="45">
        <f t="shared" si="1"/>
        <v>283.66000000000031</v>
      </c>
      <c r="F9" s="3">
        <f t="shared" si="2"/>
        <v>0.10051237713224725</v>
      </c>
      <c r="G9" s="45">
        <f>IF(COUNTIFS(tblBudget[Month],A9)=0,"",SUMIFS(tblBudget[Revenue Budget],tblBudget[Month],A9))</f>
        <v>6375</v>
      </c>
      <c r="H9" s="45">
        <f t="shared" si="3"/>
        <v>-3552.8599999999997</v>
      </c>
      <c r="I9" s="45">
        <f>IF(COUNTIFS(tblBudget[Month],A9)=0,"",SUMIFS(tblBudget[Expense Budget],tblBudget[Month],A9))</f>
        <v>4515</v>
      </c>
      <c r="J9" s="45">
        <f t="shared" si="4"/>
        <v>-1976.52</v>
      </c>
      <c r="K9" s="45" cm="1">
        <f t="array" ref="K9">SUMPRODUCT((YEAR(tblTransactions[Date])=Settings!$B$5)*(MONTH(tblTransactions[Date])=MONTH($A9))*(IF(Dashboard!$B$5="All",1,tblTransactions[Category]=Dashboard!$B$5))*(IF(Dashboard!$G$5="All",1,tblTransactions[Transaction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2435.19</v>
      </c>
      <c r="L9" s="45" cm="1">
        <f t="array" ref="L9">-SUMPRODUCT((YEAR(tblTransactions[Date])=Settings!$B$5)*(MONTH(tblTransactions[Date])=MONTH($A9))*(IF(Dashboard!$B$5="All",1,tblTransactions[Category]=Dashboard!$B$5))*(IF(Dashboard!$G$5="All",1,tblTransactions[Transaction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2232.6</v>
      </c>
      <c r="M9" s="45">
        <f t="shared" si="5"/>
        <v>202.59000000000015</v>
      </c>
      <c r="N9" s="45">
        <f t="shared" si="13"/>
        <v>12983.08</v>
      </c>
      <c r="O9" s="45">
        <f t="shared" si="6"/>
        <v>13185.67</v>
      </c>
      <c r="Q9" t="s">
        <v>54</v>
      </c>
      <c r="R9" s="41" cm="1">
        <f t="array" ref="R9">SUMPRODUCT((YEAR(tblTransactions[Date])=Settings!$B$5)*(tblTransactions[Transaction Type]="Expense")*(tblTransactions[Category]=Q9)*(IF(Dashboard!$J$5="All",1,tblTransactions[Payment Status]=Dashboard!$J$5))*tblTransactions[Amount])</f>
        <v>2151.85</v>
      </c>
      <c r="S9">
        <f>_xlfn.RANK.EQ(R9,$R$2:$R$9,0)+COUNTIF($R$2:R9,R9)-1</f>
        <v>4</v>
      </c>
      <c r="T9" t="str">
        <f t="shared" si="7"/>
        <v>Phone &amp; Internet</v>
      </c>
      <c r="U9" s="41">
        <f t="shared" si="8"/>
        <v>1247.6299999999999</v>
      </c>
      <c r="W9" s="41">
        <f t="shared" si="9"/>
        <v>283.66000000000031</v>
      </c>
      <c r="X9" s="41">
        <f t="shared" si="10"/>
        <v>0</v>
      </c>
      <c r="Y9" s="41">
        <f t="shared" si="11"/>
        <v>6375</v>
      </c>
      <c r="Z9" s="41">
        <f t="shared" si="12"/>
        <v>2822.1400000000003</v>
      </c>
    </row>
    <row r="10" spans="1:26" x14ac:dyDescent="0.3">
      <c r="A10" s="2">
        <f>DATE(Settings!$B$5,ROW()-1,1)</f>
        <v>45901</v>
      </c>
      <c r="B10" s="1" t="str">
        <f t="shared" si="0"/>
        <v>Sep</v>
      </c>
      <c r="C10" s="45" cm="1">
        <f t="array" ref="C10">SUMPRODUCT((YEAR(tblTransactions[Date])=Settings!$B$5)*(MONTH(tblTransactions[Date])=MONTH($A10))*(IF(Dashboard!$B$5="All",1,tblTransactions[Category]=Dashboard!$B$5))*(IF(Dashboard!$G$5="All",1,tblTransactions[Transaction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2116.0699999999997</v>
      </c>
      <c r="D10" s="45" cm="1">
        <f t="array" ref="D10">SUMPRODUCT((YEAR(tblTransactions[Date])=Settings!$B$5)*(MONTH(tblTransactions[Date])=MONTH($A10))*(IF(Dashboard!$B$5="All",1,tblTransactions[Category]=Dashboard!$B$5))*(IF(Dashboard!$G$5="All",1,tblTransactions[Transaction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2348.75</v>
      </c>
      <c r="E10" s="45">
        <f t="shared" si="1"/>
        <v>-232.68000000000029</v>
      </c>
      <c r="F10" s="3">
        <f t="shared" si="2"/>
        <v>-0.10995855524628217</v>
      </c>
      <c r="G10" s="45">
        <f>IF(COUNTIFS(tblBudget[Month],A10)=0,"",SUMIFS(tblBudget[Revenue Budget],tblBudget[Month],A10))</f>
        <v>6500</v>
      </c>
      <c r="H10" s="45">
        <f t="shared" si="3"/>
        <v>-4383.93</v>
      </c>
      <c r="I10" s="45">
        <f>IF(COUNTIFS(tblBudget[Month],A10)=0,"",SUMIFS(tblBudget[Expense Budget],tblBudget[Month],A10))</f>
        <v>4560</v>
      </c>
      <c r="J10" s="45">
        <f t="shared" si="4"/>
        <v>-2211.25</v>
      </c>
      <c r="K10" s="45" cm="1">
        <f t="array" ref="K10">SUMPRODUCT((YEAR(tblTransactions[Date])=Settings!$B$5)*(MONTH(tblTransactions[Date])=MONTH($A10))*(IF(Dashboard!$B$5="All",1,tblTransactions[Category]=Dashboard!$B$5))*(IF(Dashboard!$G$5="All",1,tblTransactions[Transaction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1671.2200000000003</v>
      </c>
      <c r="L10" s="45" cm="1">
        <f t="array" ref="L10">-SUMPRODUCT((YEAR(tblTransactions[Date])=Settings!$B$5)*(MONTH(tblTransactions[Date])=MONTH($A10))*(IF(Dashboard!$B$5="All",1,tblTransactions[Category]=Dashboard!$B$5))*(IF(Dashboard!$G$5="All",1,tblTransactions[Transaction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1756.77</v>
      </c>
      <c r="M10" s="45">
        <f t="shared" si="5"/>
        <v>-85.549999999999727</v>
      </c>
      <c r="N10" s="45">
        <f t="shared" si="13"/>
        <v>13185.67</v>
      </c>
      <c r="O10" s="45">
        <f t="shared" si="6"/>
        <v>13100.12</v>
      </c>
      <c r="W10" s="41">
        <f t="shared" si="9"/>
        <v>0</v>
      </c>
      <c r="X10" s="41">
        <f t="shared" si="10"/>
        <v>-232.68000000000029</v>
      </c>
      <c r="Y10" s="41">
        <f t="shared" si="11"/>
        <v>6500</v>
      </c>
      <c r="Z10" s="41">
        <f t="shared" si="12"/>
        <v>2116.0699999999997</v>
      </c>
    </row>
    <row r="11" spans="1:26" x14ac:dyDescent="0.3">
      <c r="A11" s="2">
        <f>DATE(Settings!$B$5,ROW()-1,1)</f>
        <v>45931</v>
      </c>
      <c r="B11" s="1" t="str">
        <f t="shared" si="0"/>
        <v>Oct</v>
      </c>
      <c r="C11" s="45" cm="1">
        <f t="array" ref="C11">SUMPRODUCT((YEAR(tblTransactions[Date])=Settings!$B$5)*(MONTH(tblTransactions[Date])=MONTH($A11))*(IF(Dashboard!$B$5="All",1,tblTransactions[Category]=Dashboard!$B$5))*(IF(Dashboard!$G$5="All",1,tblTransactions[Transaction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1897.31</v>
      </c>
      <c r="D11" s="45" cm="1">
        <f t="array" ref="D11">SUMPRODUCT((YEAR(tblTransactions[Date])=Settings!$B$5)*(MONTH(tblTransactions[Date])=MONTH($A11))*(IF(Dashboard!$B$5="All",1,tblTransactions[Category]=Dashboard!$B$5))*(IF(Dashboard!$G$5="All",1,tblTransactions[Transaction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2499.42</v>
      </c>
      <c r="E11" s="45">
        <f t="shared" si="1"/>
        <v>-602.11000000000013</v>
      </c>
      <c r="F11" s="3">
        <f t="shared" si="2"/>
        <v>-0.31734929979813531</v>
      </c>
      <c r="G11" s="45">
        <f>IF(COUNTIFS(tblBudget[Month],A11)=0,"",SUMIFS(tblBudget[Revenue Budget],tblBudget[Month],A11))</f>
        <v>6625</v>
      </c>
      <c r="H11" s="45">
        <f t="shared" si="3"/>
        <v>-4727.6900000000005</v>
      </c>
      <c r="I11" s="45">
        <f>IF(COUNTIFS(tblBudget[Month],A11)=0,"",SUMIFS(tblBudget[Expense Budget],tblBudget[Month],A11))</f>
        <v>4605</v>
      </c>
      <c r="J11" s="45">
        <f t="shared" si="4"/>
        <v>-2105.58</v>
      </c>
      <c r="K11" s="45" cm="1">
        <f t="array" ref="K11">SUMPRODUCT((YEAR(tblTransactions[Date])=Settings!$B$5)*(MONTH(tblTransactions[Date])=MONTH($A11))*(IF(Dashboard!$B$5="All",1,tblTransactions[Category]=Dashboard!$B$5))*(IF(Dashboard!$G$5="All",1,tblTransactions[Transaction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1782.99</v>
      </c>
      <c r="L11" s="45" cm="1">
        <f t="array" ref="L11">-SUMPRODUCT((YEAR(tblTransactions[Date])=Settings!$B$5)*(MONTH(tblTransactions[Date])=MONTH($A11))*(IF(Dashboard!$B$5="All",1,tblTransactions[Category]=Dashboard!$B$5))*(IF(Dashboard!$G$5="All",1,tblTransactions[Transaction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544.23</v>
      </c>
      <c r="M11" s="45">
        <f t="shared" si="5"/>
        <v>1238.76</v>
      </c>
      <c r="N11" s="45">
        <f t="shared" si="13"/>
        <v>13100.12</v>
      </c>
      <c r="O11" s="45">
        <f t="shared" si="6"/>
        <v>14338.880000000001</v>
      </c>
      <c r="W11" s="41">
        <f t="shared" si="9"/>
        <v>0</v>
      </c>
      <c r="X11" s="41">
        <f t="shared" si="10"/>
        <v>-602.11000000000013</v>
      </c>
      <c r="Y11" s="41">
        <f t="shared" si="11"/>
        <v>6625</v>
      </c>
      <c r="Z11" s="41">
        <f t="shared" si="12"/>
        <v>1897.31</v>
      </c>
    </row>
    <row r="12" spans="1:26" x14ac:dyDescent="0.3">
      <c r="A12" s="2">
        <f>DATE(Settings!$B$5,ROW()-1,1)</f>
        <v>45962</v>
      </c>
      <c r="B12" s="1" t="str">
        <f t="shared" si="0"/>
        <v>Nov</v>
      </c>
      <c r="C12" s="45" cm="1">
        <f t="array" ref="C12">SUMPRODUCT((YEAR(tblTransactions[Date])=Settings!$B$5)*(MONTH(tblTransactions[Date])=MONTH($A12))*(IF(Dashboard!$B$5="All",1,tblTransactions[Category]=Dashboard!$B$5))*(IF(Dashboard!$G$5="All",1,tblTransactions[Transaction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2619.3599999999997</v>
      </c>
      <c r="D12" s="45" cm="1">
        <f t="array" ref="D12">SUMPRODUCT((YEAR(tblTransactions[Date])=Settings!$B$5)*(MONTH(tblTransactions[Date])=MONTH($A12))*(IF(Dashboard!$B$5="All",1,tblTransactions[Category]=Dashboard!$B$5))*(IF(Dashboard!$G$5="All",1,tblTransactions[Transaction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2393.96</v>
      </c>
      <c r="E12" s="45">
        <f t="shared" si="1"/>
        <v>225.39999999999964</v>
      </c>
      <c r="F12" s="3">
        <f t="shared" si="2"/>
        <v>8.6051554578217448E-2</v>
      </c>
      <c r="G12" s="45">
        <f>IF(COUNTIFS(tblBudget[Month],A12)=0,"",SUMIFS(tblBudget[Revenue Budget],tblBudget[Month],A12))</f>
        <v>6750</v>
      </c>
      <c r="H12" s="45">
        <f t="shared" si="3"/>
        <v>-4130.6400000000003</v>
      </c>
      <c r="I12" s="45">
        <f>IF(COUNTIFS(tblBudget[Month],A12)=0,"",SUMIFS(tblBudget[Expense Budget],tblBudget[Month],A12))</f>
        <v>4650</v>
      </c>
      <c r="J12" s="45">
        <f t="shared" si="4"/>
        <v>-2256.04</v>
      </c>
      <c r="K12" s="45" cm="1">
        <f t="array" ref="K12">SUMPRODUCT((YEAR(tblTransactions[Date])=Settings!$B$5)*(MONTH(tblTransactions[Date])=MONTH($A12))*(IF(Dashboard!$B$5="All",1,tblTransactions[Category]=Dashboard!$B$5))*(IF(Dashboard!$G$5="All",1,tblTransactions[Transaction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1478.8200000000002</v>
      </c>
      <c r="L12" s="45" cm="1">
        <f t="array" ref="L12">-SUMPRODUCT((YEAR(tblTransactions[Date])=Settings!$B$5)*(MONTH(tblTransactions[Date])=MONTH($A12))*(IF(Dashboard!$B$5="All",1,tblTransactions[Category]=Dashboard!$B$5))*(IF(Dashboard!$G$5="All",1,tblTransactions[Transaction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1981.3899999999999</v>
      </c>
      <c r="M12" s="45">
        <f t="shared" si="5"/>
        <v>-502.56999999999971</v>
      </c>
      <c r="N12" s="45">
        <f t="shared" si="13"/>
        <v>14338.880000000001</v>
      </c>
      <c r="O12" s="45">
        <f t="shared" si="6"/>
        <v>13836.310000000001</v>
      </c>
      <c r="W12" s="41">
        <f t="shared" si="9"/>
        <v>225.39999999999964</v>
      </c>
      <c r="X12" s="41">
        <f t="shared" si="10"/>
        <v>0</v>
      </c>
      <c r="Y12" s="41">
        <f t="shared" si="11"/>
        <v>6750</v>
      </c>
      <c r="Z12" s="41">
        <f t="shared" si="12"/>
        <v>2619.3599999999997</v>
      </c>
    </row>
    <row r="13" spans="1:26" x14ac:dyDescent="0.3">
      <c r="A13" s="2">
        <f>DATE(Settings!$B$5,ROW()-1,1)</f>
        <v>45992</v>
      </c>
      <c r="B13" s="1" t="str">
        <f t="shared" si="0"/>
        <v>Dec</v>
      </c>
      <c r="C13" s="45" cm="1">
        <f t="array" ref="C13">SUMPRODUCT((YEAR(tblTransactions[Date])=Settings!$B$5)*(MONTH(tblTransactions[Date])=MONTH($A13))*(IF(Dashboard!$B$5="All",1,tblTransactions[Category]=Dashboard!$B$5))*(IF(Dashboard!$G$5="All",1,tblTransactions[Transaction Type]=Dashboard!$G$5))*(IF(Dashboard!$J$5="All",1,tblTransactions[Payment Status]=Dashboard!$J$5))*(tblTransactions[Transaction Type]="Income")*tblTransactions[Amount])</f>
        <v>2248.2599999999998</v>
      </c>
      <c r="D13" s="45" cm="1">
        <f t="array" ref="D13">SUMPRODUCT((YEAR(tblTransactions[Date])=Settings!$B$5)*(MONTH(tblTransactions[Date])=MONTH($A13))*(IF(Dashboard!$B$5="All",1,tblTransactions[Category]=Dashboard!$B$5))*(IF(Dashboard!$G$5="All",1,tblTransactions[Transaction Type]=Dashboard!$G$5))*(IF(Dashboard!$J$5="All",1,tblTransactions[Payment Status]=Dashboard!$J$5))*(tblTransactions[Transaction Type]="Expense")*tblTransactions[Amount])</f>
        <v>2450.89</v>
      </c>
      <c r="E13" s="45">
        <f t="shared" si="1"/>
        <v>-202.63000000000011</v>
      </c>
      <c r="F13" s="3">
        <f t="shared" si="2"/>
        <v>-9.0127476359495848E-2</v>
      </c>
      <c r="G13" s="45">
        <f>IF(COUNTIFS(tblBudget[Month],A13)=0,"",SUMIFS(tblBudget[Revenue Budget],tblBudget[Month],A13))</f>
        <v>6875</v>
      </c>
      <c r="H13" s="45">
        <f t="shared" si="3"/>
        <v>-4626.74</v>
      </c>
      <c r="I13" s="45">
        <f>IF(COUNTIFS(tblBudget[Month],A13)=0,"",SUMIFS(tblBudget[Expense Budget],tblBudget[Month],A13))</f>
        <v>4695</v>
      </c>
      <c r="J13" s="45">
        <f t="shared" si="4"/>
        <v>-2244.11</v>
      </c>
      <c r="K13" s="45" cm="1">
        <f t="array" ref="K13">SUMPRODUCT((YEAR(tblTransactions[Date])=Settings!$B$5)*(MONTH(tblTransactions[Date])=MONTH($A13))*(IF(Dashboard!$B$5="All",1,tblTransactions[Category]=Dashboard!$B$5))*(IF(Dashboard!$G$5="All",1,tblTransactions[Transaction Type]=Dashboard!$G$5))*(IF(Dashboard!$J$5="All",1,tblTransactions[Payment Status]=Dashboard!$J$5))*(tblTransactions[Transaction Type]="Income")*(tblTransactions[Payment Status]="Paid")*tblTransactions[Cash Impact])</f>
        <v>2428.1099999999997</v>
      </c>
      <c r="L13" s="45" cm="1">
        <f t="array" ref="L13">-SUMPRODUCT((YEAR(tblTransactions[Date])=Settings!$B$5)*(MONTH(tblTransactions[Date])=MONTH($A13))*(IF(Dashboard!$B$5="All",1,tblTransactions[Category]=Dashboard!$B$5))*(IF(Dashboard!$G$5="All",1,tblTransactions[Transaction Type]=Dashboard!$G$5))*(IF(Dashboard!$J$5="All",1,tblTransactions[Payment Status]=Dashboard!$J$5))*(tblTransactions[Transaction Type]="Expense")*(tblTransactions[Payment Status]="Paid")*tblTransactions[Cash Impact])</f>
        <v>2019.4199999999998</v>
      </c>
      <c r="M13" s="45">
        <f t="shared" si="5"/>
        <v>408.68999999999983</v>
      </c>
      <c r="N13" s="45">
        <f t="shared" si="13"/>
        <v>13836.310000000001</v>
      </c>
      <c r="O13" s="45">
        <f t="shared" si="6"/>
        <v>14245.000000000002</v>
      </c>
      <c r="W13" s="41">
        <f t="shared" si="9"/>
        <v>0</v>
      </c>
      <c r="X13" s="41">
        <f t="shared" si="10"/>
        <v>-202.63000000000011</v>
      </c>
      <c r="Y13" s="41">
        <f t="shared" si="11"/>
        <v>6875</v>
      </c>
      <c r="Z13" s="41">
        <f t="shared" si="12"/>
        <v>2248.2599999999998</v>
      </c>
    </row>
    <row r="14" spans="1:26" x14ac:dyDescent="0.3">
      <c r="A14" s="1"/>
      <c r="B14" s="1"/>
      <c r="C14" s="45"/>
      <c r="D14" s="45"/>
      <c r="E14" s="45"/>
      <c r="F14" s="3"/>
      <c r="G14" s="45"/>
      <c r="H14" s="45"/>
      <c r="I14" s="45"/>
      <c r="J14" s="45"/>
      <c r="K14" s="45"/>
      <c r="L14" s="45"/>
      <c r="M14" s="45"/>
      <c r="N14" s="45"/>
      <c r="O14" s="45"/>
    </row>
    <row r="15" spans="1:26" x14ac:dyDescent="0.3">
      <c r="A15" s="35" t="s">
        <v>139</v>
      </c>
      <c r="B15" s="35"/>
      <c r="C15" s="46">
        <f>SUM(C2:C13)</f>
        <v>28217.19</v>
      </c>
      <c r="D15" s="46">
        <f>SUM(D2:D13)</f>
        <v>29853.019999999997</v>
      </c>
      <c r="E15" s="46">
        <f>C15-D15</f>
        <v>-1635.8299999999981</v>
      </c>
      <c r="F15" s="36">
        <f>IF(C15=0,"N/A",E15/C15)</f>
        <v>-5.7972817279112417E-2</v>
      </c>
      <c r="G15" s="46">
        <f>SUM(G2:G13)</f>
        <v>74250</v>
      </c>
      <c r="H15" s="46">
        <f>SUM(H2:H13)</f>
        <v>-46032.810000000005</v>
      </c>
      <c r="I15" s="46">
        <f>SUM(I2:I13)</f>
        <v>53370</v>
      </c>
      <c r="J15" s="46">
        <f>SUM(J2:J13)</f>
        <v>-23516.980000000003</v>
      </c>
      <c r="K15" s="46">
        <f>SUM(K2:K13)</f>
        <v>25155.050000000003</v>
      </c>
      <c r="L15" s="46">
        <f>SUM(L2:L13)</f>
        <v>20910.05</v>
      </c>
      <c r="M15" s="46">
        <f>SUM(M2:M13)</f>
        <v>4245.0000000000009</v>
      </c>
      <c r="N15" s="46">
        <f>N2</f>
        <v>10000</v>
      </c>
      <c r="O15" s="46">
        <f>O13</f>
        <v>14245.000000000002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96A0-D0D0-4DA8-BDCB-B94EA5FA0F0F}">
  <dimension ref="A1:K15"/>
  <sheetViews>
    <sheetView showGridLines="0" workbookViewId="0">
      <selection sqref="A1:P1"/>
    </sheetView>
  </sheetViews>
  <sheetFormatPr defaultRowHeight="14.4" x14ac:dyDescent="0.3"/>
  <cols>
    <col min="1" max="1" width="13" customWidth="1"/>
    <col min="2" max="10" width="20.77734375" customWidth="1"/>
    <col min="11" max="11" width="26.88671875" customWidth="1"/>
  </cols>
  <sheetData>
    <row r="1" spans="1:11" x14ac:dyDescent="0.3">
      <c r="A1" s="11" t="s">
        <v>91</v>
      </c>
      <c r="B1" s="11" t="s">
        <v>78</v>
      </c>
      <c r="C1" s="11" t="s">
        <v>148</v>
      </c>
      <c r="D1" s="11" t="s">
        <v>149</v>
      </c>
      <c r="E1" s="11" t="s">
        <v>150</v>
      </c>
      <c r="F1" s="11" t="s">
        <v>151</v>
      </c>
      <c r="G1" s="11" t="s">
        <v>152</v>
      </c>
      <c r="H1" s="11" t="s">
        <v>153</v>
      </c>
      <c r="I1" s="11" t="s">
        <v>137</v>
      </c>
      <c r="J1" s="11" t="s">
        <v>138</v>
      </c>
      <c r="K1" s="11" t="s">
        <v>154</v>
      </c>
    </row>
    <row r="2" spans="1:11" x14ac:dyDescent="0.3">
      <c r="A2" s="1" t="str">
        <f>TEXT(DATE(Settings!$B$5,ROW()-1,1),"mmm")</f>
        <v>Jan</v>
      </c>
      <c r="B2" s="45">
        <f>Settings!$B$9</f>
        <v>10000</v>
      </c>
      <c r="C2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2634.98</v>
      </c>
      <c r="D2" s="45" t="str">
        <f>""</f>
        <v/>
      </c>
      <c r="E2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2476.2400000000002</v>
      </c>
      <c r="F2" s="45" t="str">
        <f>""</f>
        <v/>
      </c>
      <c r="G2" s="45">
        <f>C2+IF(D2="",0,D2)</f>
        <v>2634.98</v>
      </c>
      <c r="H2" s="45">
        <f>E2+IF(F2="",0,F2)</f>
        <v>2476.2400000000002</v>
      </c>
      <c r="I2" s="45">
        <f>G2-H2</f>
        <v>158.73999999999978</v>
      </c>
      <c r="J2" s="45">
        <f>B2+I2</f>
        <v>10158.74</v>
      </c>
      <c r="K2" s="1" t="str">
        <f>IF(Settings!$B$9="","OPENING BALANCE REQUIRED",IF(J2&lt;Settings!$B$12,"BELOW THRESHOLD",IF(J2&lt;Settings!$B$12*1.25,"APPROACHING THRESHOLD","HEALTHY")))</f>
        <v>HEALTHY</v>
      </c>
    </row>
    <row r="3" spans="1:11" x14ac:dyDescent="0.3">
      <c r="A3" s="1" t="str">
        <f>TEXT(DATE(Settings!$B$5,ROW()-1,1),"mmm")</f>
        <v>Feb</v>
      </c>
      <c r="B3" s="45">
        <f>J2</f>
        <v>10158.74</v>
      </c>
      <c r="C3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1523.54</v>
      </c>
      <c r="D3" s="45" t="str">
        <f>""</f>
        <v/>
      </c>
      <c r="E3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1040.78</v>
      </c>
      <c r="F3" s="45" t="str">
        <f>""</f>
        <v/>
      </c>
      <c r="G3" s="45">
        <f t="shared" ref="G3:G13" si="0">C3+IF(D3="",0,D3)</f>
        <v>1523.54</v>
      </c>
      <c r="H3" s="45">
        <f t="shared" ref="H3:H13" si="1">E3+IF(F3="",0,F3)</f>
        <v>1040.78</v>
      </c>
      <c r="I3" s="45">
        <f t="shared" ref="I3:I13" si="2">G3-H3</f>
        <v>482.76</v>
      </c>
      <c r="J3" s="45">
        <f t="shared" ref="J3:J13" si="3">B3+I3</f>
        <v>10641.5</v>
      </c>
      <c r="K3" s="1" t="str">
        <f>IF(Settings!$B$9="","OPENING BALANCE REQUIRED",IF(J3&lt;Settings!$B$12,"BELOW THRESHOLD",IF(J3&lt;Settings!$B$12*1.25,"APPROACHING THRESHOLD","HEALTHY")))</f>
        <v>HEALTHY</v>
      </c>
    </row>
    <row r="4" spans="1:11" x14ac:dyDescent="0.3">
      <c r="A4" s="1" t="str">
        <f>TEXT(DATE(Settings!$B$5,ROW()-1,1),"mmm")</f>
        <v>Mar</v>
      </c>
      <c r="B4" s="45">
        <f t="shared" ref="B4:B13" si="4">J3</f>
        <v>10641.5</v>
      </c>
      <c r="C4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2335.88</v>
      </c>
      <c r="D4" s="45" t="str">
        <f>""</f>
        <v/>
      </c>
      <c r="E4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1964.4699999999998</v>
      </c>
      <c r="F4" s="45" t="str">
        <f>""</f>
        <v/>
      </c>
      <c r="G4" s="45">
        <f t="shared" si="0"/>
        <v>2335.88</v>
      </c>
      <c r="H4" s="45">
        <f t="shared" si="1"/>
        <v>1964.4699999999998</v>
      </c>
      <c r="I4" s="45">
        <f t="shared" si="2"/>
        <v>371.41000000000031</v>
      </c>
      <c r="J4" s="45">
        <f t="shared" si="3"/>
        <v>11012.91</v>
      </c>
      <c r="K4" s="1" t="str">
        <f>IF(Settings!$B$9="","OPENING BALANCE REQUIRED",IF(J4&lt;Settings!$B$12,"BELOW THRESHOLD",IF(J4&lt;Settings!$B$12*1.25,"APPROACHING THRESHOLD","HEALTHY")))</f>
        <v>HEALTHY</v>
      </c>
    </row>
    <row r="5" spans="1:11" x14ac:dyDescent="0.3">
      <c r="A5" s="1" t="str">
        <f>TEXT(DATE(Settings!$B$5,ROW()-1,1),"mmm")</f>
        <v>Apr</v>
      </c>
      <c r="B5" s="45">
        <f t="shared" si="4"/>
        <v>11012.91</v>
      </c>
      <c r="C5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1226.79</v>
      </c>
      <c r="D5" s="45" t="str">
        <f>""</f>
        <v/>
      </c>
      <c r="E5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2622.74</v>
      </c>
      <c r="F5" s="45" t="str">
        <f>""</f>
        <v/>
      </c>
      <c r="G5" s="45">
        <f t="shared" si="0"/>
        <v>1226.79</v>
      </c>
      <c r="H5" s="45">
        <f t="shared" si="1"/>
        <v>2622.74</v>
      </c>
      <c r="I5" s="45">
        <f t="shared" si="2"/>
        <v>-1395.9499999999998</v>
      </c>
      <c r="J5" s="45">
        <f t="shared" si="3"/>
        <v>9616.9599999999991</v>
      </c>
      <c r="K5" s="1" t="str">
        <f>IF(Settings!$B$9="","OPENING BALANCE REQUIRED",IF(J5&lt;Settings!$B$12,"BELOW THRESHOLD",IF(J5&lt;Settings!$B$12*1.25,"APPROACHING THRESHOLD","HEALTHY")))</f>
        <v>HEALTHY</v>
      </c>
    </row>
    <row r="6" spans="1:11" x14ac:dyDescent="0.3">
      <c r="A6" s="1" t="str">
        <f>TEXT(DATE(Settings!$B$5,ROW()-1,1),"mmm")</f>
        <v>May</v>
      </c>
      <c r="B6" s="45">
        <f t="shared" si="4"/>
        <v>9616.9599999999991</v>
      </c>
      <c r="C6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2892.2999999999997</v>
      </c>
      <c r="D6" s="45" t="str">
        <f>""</f>
        <v/>
      </c>
      <c r="E6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1785.57</v>
      </c>
      <c r="F6" s="45" t="str">
        <f>""</f>
        <v/>
      </c>
      <c r="G6" s="45">
        <f t="shared" si="0"/>
        <v>2892.2999999999997</v>
      </c>
      <c r="H6" s="45">
        <f t="shared" si="1"/>
        <v>1785.57</v>
      </c>
      <c r="I6" s="45">
        <f t="shared" si="2"/>
        <v>1106.7299999999998</v>
      </c>
      <c r="J6" s="45">
        <f t="shared" si="3"/>
        <v>10723.689999999999</v>
      </c>
      <c r="K6" s="1" t="str">
        <f>IF(Settings!$B$9="","OPENING BALANCE REQUIRED",IF(J6&lt;Settings!$B$12,"BELOW THRESHOLD",IF(J6&lt;Settings!$B$12*1.25,"APPROACHING THRESHOLD","HEALTHY")))</f>
        <v>HEALTHY</v>
      </c>
    </row>
    <row r="7" spans="1:11" x14ac:dyDescent="0.3">
      <c r="A7" s="1" t="str">
        <f>TEXT(DATE(Settings!$B$5,ROW()-1,1),"mmm")</f>
        <v>Jun</v>
      </c>
      <c r="B7" s="45">
        <f t="shared" si="4"/>
        <v>10723.689999999999</v>
      </c>
      <c r="C7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2577.6600000000003</v>
      </c>
      <c r="D7" s="45" t="str">
        <f>""</f>
        <v/>
      </c>
      <c r="E7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1820.35</v>
      </c>
      <c r="F7" s="45" t="str">
        <f>""</f>
        <v/>
      </c>
      <c r="G7" s="45">
        <f t="shared" si="0"/>
        <v>2577.6600000000003</v>
      </c>
      <c r="H7" s="45">
        <f t="shared" si="1"/>
        <v>1820.35</v>
      </c>
      <c r="I7" s="45">
        <f t="shared" si="2"/>
        <v>757.3100000000004</v>
      </c>
      <c r="J7" s="45">
        <f t="shared" si="3"/>
        <v>11481</v>
      </c>
      <c r="K7" s="1" t="str">
        <f>IF(Settings!$B$9="","OPENING BALANCE REQUIRED",IF(J7&lt;Settings!$B$12,"BELOW THRESHOLD",IF(J7&lt;Settings!$B$12*1.25,"APPROACHING THRESHOLD","HEALTHY")))</f>
        <v>HEALTHY</v>
      </c>
    </row>
    <row r="8" spans="1:11" x14ac:dyDescent="0.3">
      <c r="A8" s="1" t="str">
        <f>TEXT(DATE(Settings!$B$5,ROW()-1,1),"mmm")</f>
        <v>Jul</v>
      </c>
      <c r="B8" s="45">
        <f t="shared" si="4"/>
        <v>11481</v>
      </c>
      <c r="C8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2167.5700000000002</v>
      </c>
      <c r="D8" s="45" t="str">
        <f>""</f>
        <v/>
      </c>
      <c r="E8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665.49</v>
      </c>
      <c r="F8" s="45" t="str">
        <f>""</f>
        <v/>
      </c>
      <c r="G8" s="45">
        <f t="shared" si="0"/>
        <v>2167.5700000000002</v>
      </c>
      <c r="H8" s="45">
        <f t="shared" si="1"/>
        <v>665.49</v>
      </c>
      <c r="I8" s="45">
        <f t="shared" si="2"/>
        <v>1502.0800000000002</v>
      </c>
      <c r="J8" s="45">
        <f t="shared" si="3"/>
        <v>12983.08</v>
      </c>
      <c r="K8" s="1" t="str">
        <f>IF(Settings!$B$9="","OPENING BALANCE REQUIRED",IF(J8&lt;Settings!$B$12,"BELOW THRESHOLD",IF(J8&lt;Settings!$B$12*1.25,"APPROACHING THRESHOLD","HEALTHY")))</f>
        <v>HEALTHY</v>
      </c>
    </row>
    <row r="9" spans="1:11" x14ac:dyDescent="0.3">
      <c r="A9" s="1" t="str">
        <f>TEXT(DATE(Settings!$B$5,ROW()-1,1),"mmm")</f>
        <v>Aug</v>
      </c>
      <c r="B9" s="45">
        <f t="shared" si="4"/>
        <v>12983.08</v>
      </c>
      <c r="C9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2435.19</v>
      </c>
      <c r="D9" s="45" t="str">
        <f>""</f>
        <v/>
      </c>
      <c r="E9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2232.6</v>
      </c>
      <c r="F9" s="45" t="str">
        <f>""</f>
        <v/>
      </c>
      <c r="G9" s="45">
        <f t="shared" si="0"/>
        <v>2435.19</v>
      </c>
      <c r="H9" s="45">
        <f t="shared" si="1"/>
        <v>2232.6</v>
      </c>
      <c r="I9" s="45">
        <f t="shared" si="2"/>
        <v>202.59000000000015</v>
      </c>
      <c r="J9" s="45">
        <f t="shared" si="3"/>
        <v>13185.67</v>
      </c>
      <c r="K9" s="1" t="str">
        <f>IF(Settings!$B$9="","OPENING BALANCE REQUIRED",IF(J9&lt;Settings!$B$12,"BELOW THRESHOLD",IF(J9&lt;Settings!$B$12*1.25,"APPROACHING THRESHOLD","HEALTHY")))</f>
        <v>HEALTHY</v>
      </c>
    </row>
    <row r="10" spans="1:11" x14ac:dyDescent="0.3">
      <c r="A10" s="1" t="str">
        <f>TEXT(DATE(Settings!$B$5,ROW()-1,1),"mmm")</f>
        <v>Sep</v>
      </c>
      <c r="B10" s="45">
        <f t="shared" si="4"/>
        <v>13185.67</v>
      </c>
      <c r="C10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1671.2200000000003</v>
      </c>
      <c r="D10" s="45" t="str">
        <f>""</f>
        <v/>
      </c>
      <c r="E10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1756.77</v>
      </c>
      <c r="F10" s="45" t="str">
        <f>""</f>
        <v/>
      </c>
      <c r="G10" s="45">
        <f t="shared" si="0"/>
        <v>1671.2200000000003</v>
      </c>
      <c r="H10" s="45">
        <f t="shared" si="1"/>
        <v>1756.77</v>
      </c>
      <c r="I10" s="45">
        <f t="shared" si="2"/>
        <v>-85.549999999999727</v>
      </c>
      <c r="J10" s="45">
        <f t="shared" si="3"/>
        <v>13100.12</v>
      </c>
      <c r="K10" s="1" t="str">
        <f>IF(Settings!$B$9="","OPENING BALANCE REQUIRED",IF(J10&lt;Settings!$B$12,"BELOW THRESHOLD",IF(J10&lt;Settings!$B$12*1.25,"APPROACHING THRESHOLD","HEALTHY")))</f>
        <v>HEALTHY</v>
      </c>
    </row>
    <row r="11" spans="1:11" x14ac:dyDescent="0.3">
      <c r="A11" s="1" t="str">
        <f>TEXT(DATE(Settings!$B$5,ROW()-1,1),"mmm")</f>
        <v>Oct</v>
      </c>
      <c r="B11" s="45">
        <f t="shared" si="4"/>
        <v>13100.12</v>
      </c>
      <c r="C11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1782.99</v>
      </c>
      <c r="D11" s="45" t="str">
        <f>""</f>
        <v/>
      </c>
      <c r="E11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544.23</v>
      </c>
      <c r="F11" s="45" t="str">
        <f>""</f>
        <v/>
      </c>
      <c r="G11" s="45">
        <f t="shared" si="0"/>
        <v>1782.99</v>
      </c>
      <c r="H11" s="45">
        <f t="shared" si="1"/>
        <v>544.23</v>
      </c>
      <c r="I11" s="45">
        <f t="shared" si="2"/>
        <v>1238.76</v>
      </c>
      <c r="J11" s="45">
        <f t="shared" si="3"/>
        <v>14338.880000000001</v>
      </c>
      <c r="K11" s="1" t="str">
        <f>IF(Settings!$B$9="","OPENING BALANCE REQUIRED",IF(J11&lt;Settings!$B$12,"BELOW THRESHOLD",IF(J11&lt;Settings!$B$12*1.25,"APPROACHING THRESHOLD","HEALTHY")))</f>
        <v>HEALTHY</v>
      </c>
    </row>
    <row r="12" spans="1:11" x14ac:dyDescent="0.3">
      <c r="A12" s="1" t="str">
        <f>TEXT(DATE(Settings!$B$5,ROW()-1,1),"mmm")</f>
        <v>Nov</v>
      </c>
      <c r="B12" s="45">
        <f t="shared" si="4"/>
        <v>14338.880000000001</v>
      </c>
      <c r="C12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1478.8200000000002</v>
      </c>
      <c r="D12" s="45" t="str">
        <f>""</f>
        <v/>
      </c>
      <c r="E12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1981.3899999999999</v>
      </c>
      <c r="F12" s="45" t="str">
        <f>""</f>
        <v/>
      </c>
      <c r="G12" s="45">
        <f t="shared" si="0"/>
        <v>1478.8200000000002</v>
      </c>
      <c r="H12" s="45">
        <f t="shared" si="1"/>
        <v>1981.3899999999999</v>
      </c>
      <c r="I12" s="45">
        <f t="shared" si="2"/>
        <v>-502.56999999999971</v>
      </c>
      <c r="J12" s="45">
        <f t="shared" si="3"/>
        <v>13836.310000000001</v>
      </c>
      <c r="K12" s="1" t="str">
        <f>IF(Settings!$B$9="","OPENING BALANCE REQUIRED",IF(J12&lt;Settings!$B$12,"BELOW THRESHOLD",IF(J12&lt;Settings!$B$12*1.25,"APPROACHING THRESHOLD","HEALTHY")))</f>
        <v>HEALTHY</v>
      </c>
    </row>
    <row r="13" spans="1:11" x14ac:dyDescent="0.3">
      <c r="A13" s="1" t="str">
        <f>TEXT(DATE(Settings!$B$5,ROW()-1,1),"mmm")</f>
        <v>Dec</v>
      </c>
      <c r="B13" s="45">
        <f t="shared" si="4"/>
        <v>13836.310000000001</v>
      </c>
      <c r="C13" s="45">
        <f>SUMIFS(tblTransactions[Cash Impact],tblTransactions[Date],"&gt;="&amp;DATE(Settings!$B$5,ROW()-1,1),tblTransactions[Date],"&lt;"&amp;EDATE(DATE(Settings!$B$5,ROW()-1,1),1),tblTransactions[Transaction Type],"Income",tblTransactions[Payment Status],"Paid")</f>
        <v>2428.1099999999997</v>
      </c>
      <c r="D13" s="45" t="str">
        <f>""</f>
        <v/>
      </c>
      <c r="E13" s="45">
        <f>-SUMIFS(tblTransactions[Cash Impact],tblTransactions[Date],"&gt;="&amp;DATE(Settings!$B$5,ROW()-1,1),tblTransactions[Date],"&lt;"&amp;EDATE(DATE(Settings!$B$5,ROW()-1,1),1),tblTransactions[Transaction Type],"Expense",tblTransactions[Payment Status],"Paid")</f>
        <v>2019.4199999999998</v>
      </c>
      <c r="F13" s="45" t="str">
        <f>""</f>
        <v/>
      </c>
      <c r="G13" s="45">
        <f t="shared" si="0"/>
        <v>2428.1099999999997</v>
      </c>
      <c r="H13" s="45">
        <f t="shared" si="1"/>
        <v>2019.4199999999998</v>
      </c>
      <c r="I13" s="45">
        <f t="shared" si="2"/>
        <v>408.68999999999983</v>
      </c>
      <c r="J13" s="45">
        <f t="shared" si="3"/>
        <v>14245.000000000002</v>
      </c>
      <c r="K13" s="1" t="str">
        <f>IF(Settings!$B$9="","OPENING BALANCE REQUIRED",IF(J13&lt;Settings!$B$12,"BELOW THRESHOLD",IF(J13&lt;Settings!$B$12*1.25,"APPROACHING THRESHOLD","HEALTHY")))</f>
        <v>HEALTHY</v>
      </c>
    </row>
    <row r="14" spans="1:1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42" customHeight="1" x14ac:dyDescent="0.3">
      <c r="A15" s="38" t="s">
        <v>155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</sheetData>
  <mergeCells count="1">
    <mergeCell ref="A15:K1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DFC823B-99F6-4685-9BD2-87B54629F3A6}">
            <xm:f>J2&lt;Settings!$B$12</xm:f>
            <x14:dxf>
              <font>
                <color rgb="FF991B1B"/>
              </font>
              <fill>
                <patternFill patternType="solid">
                  <fgColor indexed="64"/>
                  <bgColor rgb="FFFECACA"/>
                </patternFill>
              </fill>
            </x14:dxf>
          </x14:cfRule>
          <xm:sqref>J2:J13</xm:sqref>
        </x14:conditionalFormatting>
        <x14:conditionalFormatting xmlns:xm="http://schemas.microsoft.com/office/excel/2006/main">
          <x14:cfRule type="expression" priority="2" id="{BE62D7DC-8498-4CA4-BF4E-184C7A08C640}">
            <xm:f>AND(J2&gt;=Settings!$B$12,J2&lt;Settings!$B$12*1.25)</xm:f>
            <x14:dxf>
              <font>
                <color rgb="FF92400E"/>
              </font>
              <fill>
                <patternFill patternType="solid">
                  <fgColor indexed="64"/>
                  <bgColor rgb="FFFEF3C7"/>
                </patternFill>
              </fill>
            </x14:dxf>
          </x14:cfRule>
          <xm:sqref>J2:J13</xm:sqref>
        </x14:conditionalFormatting>
        <x14:conditionalFormatting xmlns:xm="http://schemas.microsoft.com/office/excel/2006/main">
          <x14:cfRule type="expression" priority="3" id="{E678260E-03FC-487D-83A3-FFBD35D5778C}">
            <xm:f>J2&gt;=Settings!$B$12*1.25</xm:f>
            <x14:dxf>
              <font>
                <color rgb="FF065F46"/>
              </font>
              <fill>
                <patternFill patternType="solid">
                  <fgColor indexed="64"/>
                  <bgColor rgb="FFD1FAE5"/>
                </patternFill>
              </fill>
            </x14:dxf>
          </x14:cfRule>
          <xm:sqref>J2:J13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53134-B3E6-493B-8A9B-EF31043E4CA3}">
  <dimension ref="A1:Q14"/>
  <sheetViews>
    <sheetView showGridLines="0" workbookViewId="0"/>
  </sheetViews>
  <sheetFormatPr defaultRowHeight="14.4" x14ac:dyDescent="0.3"/>
  <cols>
    <col min="1" max="1" width="13" customWidth="1"/>
    <col min="2" max="11" width="21.33203125" customWidth="1"/>
    <col min="13" max="13" width="16.6640625" customWidth="1"/>
    <col min="14" max="16" width="18.5546875" customWidth="1"/>
    <col min="17" max="17" width="48.109375" customWidth="1"/>
  </cols>
  <sheetData>
    <row r="1" spans="1:17" x14ac:dyDescent="0.3">
      <c r="A1" s="11" t="s">
        <v>91</v>
      </c>
      <c r="B1" s="11" t="s">
        <v>92</v>
      </c>
      <c r="C1" s="11" t="s">
        <v>147</v>
      </c>
      <c r="D1" s="11" t="s">
        <v>133</v>
      </c>
      <c r="E1" s="11" t="s">
        <v>156</v>
      </c>
      <c r="F1" s="11" t="s">
        <v>93</v>
      </c>
      <c r="G1" s="11" t="s">
        <v>157</v>
      </c>
      <c r="H1" s="11" t="s">
        <v>134</v>
      </c>
      <c r="I1" s="11" t="s">
        <v>158</v>
      </c>
      <c r="J1" s="11" t="s">
        <v>131</v>
      </c>
      <c r="K1" s="11" t="s">
        <v>159</v>
      </c>
      <c r="M1" s="39" t="s">
        <v>90</v>
      </c>
      <c r="N1" s="39"/>
      <c r="O1" s="39"/>
      <c r="P1" s="39"/>
      <c r="Q1" s="39"/>
    </row>
    <row r="2" spans="1:17" x14ac:dyDescent="0.3">
      <c r="A2" s="1" t="str">
        <f>TEXT(DATE(Settings!$B$5,ROW()-1,1),"mmm")</f>
        <v>Jan</v>
      </c>
      <c r="B2" s="45">
        <f>IF(COUNTIFS(tblBudget[Month],DATE(Settings!$B$5,ROW()-1,1))=0,"",SUMIFS(tblBudget[Revenue Budget],tblBudget[Month],DATE(Settings!$B$5,ROW()-1,1)))</f>
        <v>5500</v>
      </c>
      <c r="C2" s="45">
        <f>SUMIFS(tblTransactions[Amount],tblTransactions[Date],"&gt;="&amp;DATE(Settings!$B$5,ROW()-1,1),tblTransactions[Date],"&lt;"&amp;EDATE(DATE(Settings!$B$5,ROW()-1,1),1),tblTransactions[Transaction Type],"Income")</f>
        <v>2439.8000000000002</v>
      </c>
      <c r="D2" s="45">
        <f>IF(B2="","",C2-B2)</f>
        <v>-3060.2</v>
      </c>
      <c r="E2" s="3">
        <f>IF(OR(B2="",B2=0),"N/A",C2/B2)</f>
        <v>0.44360000000000005</v>
      </c>
      <c r="F2" s="45">
        <f>IF(COUNTIFS(tblBudget[Month],DATE(Settings!$B$5,ROW()-1,1))=0,"",SUMIFS(tblBudget[Expense Budget],tblBudget[Month],DATE(Settings!$B$5,ROW()-1,1)))</f>
        <v>4200</v>
      </c>
      <c r="G2" s="45">
        <f>SUMIFS(tblTransactions[Amount],tblTransactions[Date],"&gt;="&amp;DATE(Settings!$B$5,ROW()-1,1),tblTransactions[Date],"&lt;"&amp;EDATE(DATE(Settings!$B$5,ROW()-1,1),1),tblTransactions[Transaction Type],"Expense")</f>
        <v>2536.2600000000002</v>
      </c>
      <c r="H2" s="45">
        <f>IF(F2="","",G2-F2)</f>
        <v>-1663.7399999999998</v>
      </c>
      <c r="I2" s="3">
        <f>IF(OR(F2="",F2=0),"N/A",G2/F2)</f>
        <v>0.60387142857142861</v>
      </c>
      <c r="J2" s="45">
        <f>C2-G2</f>
        <v>-96.460000000000036</v>
      </c>
      <c r="K2" s="1" t="str">
        <f>IF(OR(B2="",F2=""),"No Budget Defined",IF(G2&gt;F2,"Over Budget",IF(C2&gt;=B2,"Above Target",IF(C2&gt;=B2*Settings!$B$13,"On Track","Below Target"))))</f>
        <v>Below Target</v>
      </c>
      <c r="M2" t="s">
        <v>91</v>
      </c>
      <c r="N2" t="s">
        <v>92</v>
      </c>
      <c r="O2" t="s">
        <v>93</v>
      </c>
      <c r="P2" t="s">
        <v>94</v>
      </c>
      <c r="Q2" t="s">
        <v>13</v>
      </c>
    </row>
    <row r="3" spans="1:17" x14ac:dyDescent="0.3">
      <c r="A3" s="1" t="str">
        <f>TEXT(DATE(Settings!$B$5,ROW()-1,1),"mmm")</f>
        <v>Feb</v>
      </c>
      <c r="B3" s="45">
        <f>IF(COUNTIFS(tblBudget[Month],DATE(Settings!$B$5,ROW()-1,1))=0,"",SUMIFS(tblBudget[Revenue Budget],tblBudget[Month],DATE(Settings!$B$5,ROW()-1,1)))</f>
        <v>5625</v>
      </c>
      <c r="C3" s="45">
        <f>SUMIFS(tblTransactions[Amount],tblTransactions[Date],"&gt;="&amp;DATE(Settings!$B$5,ROW()-1,1),tblTransactions[Date],"&lt;"&amp;EDATE(DATE(Settings!$B$5,ROW()-1,1),1),tblTransactions[Transaction Type],"Income")</f>
        <v>1773.07</v>
      </c>
      <c r="D3" s="45">
        <f t="shared" ref="D3:D13" si="0">IF(B3="","",C3-B3)</f>
        <v>-3851.9300000000003</v>
      </c>
      <c r="E3" s="3">
        <f t="shared" ref="E3:E13" si="1">IF(OR(B3="",B3=0),"N/A",C3/B3)</f>
        <v>0.31521244444444441</v>
      </c>
      <c r="F3" s="45">
        <f>IF(COUNTIFS(tblBudget[Month],DATE(Settings!$B$5,ROW()-1,1))=0,"",SUMIFS(tblBudget[Expense Budget],tblBudget[Month],DATE(Settings!$B$5,ROW()-1,1)))</f>
        <v>4245</v>
      </c>
      <c r="G3" s="45">
        <f>SUMIFS(tblTransactions[Amount],tblTransactions[Date],"&gt;="&amp;DATE(Settings!$B$5,ROW()-1,1),tblTransactions[Date],"&lt;"&amp;EDATE(DATE(Settings!$B$5,ROW()-1,1),1),tblTransactions[Transaction Type],"Expense")</f>
        <v>2504.3200000000002</v>
      </c>
      <c r="H3" s="45">
        <f t="shared" ref="H3:H13" si="2">IF(F3="","",G3-F3)</f>
        <v>-1740.6799999999998</v>
      </c>
      <c r="I3" s="3">
        <f t="shared" ref="I3:I13" si="3">IF(OR(F3="",F3=0),"N/A",G3/F3)</f>
        <v>0.58994581861012962</v>
      </c>
      <c r="J3" s="45">
        <f t="shared" ref="J3:J13" si="4">C3-G3</f>
        <v>-731.25000000000023</v>
      </c>
      <c r="K3" s="1" t="str">
        <f>IF(OR(B3="",F3=""),"No Budget Defined",IF(G3&gt;F3,"Over Budget",IF(C3&gt;=B3,"Above Target",IF(C3&gt;=B3*Settings!$B$13,"On Track","Below Target"))))</f>
        <v>Below Target</v>
      </c>
      <c r="M3" s="15">
        <v>45658</v>
      </c>
      <c r="N3" s="41">
        <v>5500</v>
      </c>
      <c r="O3" s="41">
        <v>4200</v>
      </c>
      <c r="P3" s="41">
        <v>450</v>
      </c>
      <c r="Q3" t="s">
        <v>95</v>
      </c>
    </row>
    <row r="4" spans="1:17" x14ac:dyDescent="0.3">
      <c r="A4" s="1" t="str">
        <f>TEXT(DATE(Settings!$B$5,ROW()-1,1),"mmm")</f>
        <v>Mar</v>
      </c>
      <c r="B4" s="45">
        <f>IF(COUNTIFS(tblBudget[Month],DATE(Settings!$B$5,ROW()-1,1))=0,"",SUMIFS(tblBudget[Revenue Budget],tblBudget[Month],DATE(Settings!$B$5,ROW()-1,1)))</f>
        <v>5750</v>
      </c>
      <c r="C4" s="45">
        <f>SUMIFS(tblTransactions[Amount],tblTransactions[Date],"&gt;="&amp;DATE(Settings!$B$5,ROW()-1,1),tblTransactions[Date],"&lt;"&amp;EDATE(DATE(Settings!$B$5,ROW()-1,1),1),tblTransactions[Transaction Type],"Income")</f>
        <v>2162.86</v>
      </c>
      <c r="D4" s="45">
        <f t="shared" si="0"/>
        <v>-3587.14</v>
      </c>
      <c r="E4" s="3">
        <f t="shared" si="1"/>
        <v>0.37614956521739135</v>
      </c>
      <c r="F4" s="45">
        <f>IF(COUNTIFS(tblBudget[Month],DATE(Settings!$B$5,ROW()-1,1))=0,"",SUMIFS(tblBudget[Expense Budget],tblBudget[Month],DATE(Settings!$B$5,ROW()-1,1)))</f>
        <v>4290</v>
      </c>
      <c r="G4" s="45">
        <f>SUMIFS(tblTransactions[Amount],tblTransactions[Date],"&gt;="&amp;DATE(Settings!$B$5,ROW()-1,1),tblTransactions[Date],"&lt;"&amp;EDATE(DATE(Settings!$B$5,ROW()-1,1),1),tblTransactions[Transaction Type],"Expense")</f>
        <v>2204.88</v>
      </c>
      <c r="H4" s="45">
        <f t="shared" si="2"/>
        <v>-2085.12</v>
      </c>
      <c r="I4" s="3">
        <f t="shared" si="3"/>
        <v>0.51395804195804196</v>
      </c>
      <c r="J4" s="45">
        <f t="shared" si="4"/>
        <v>-42.019999999999982</v>
      </c>
      <c r="K4" s="1" t="str">
        <f>IF(OR(B4="",F4=""),"No Budget Defined",IF(G4&gt;F4,"Over Budget",IF(C4&gt;=B4,"Above Target",IF(C4&gt;=B4*Settings!$B$13,"On Track","Below Target"))))</f>
        <v>Below Target</v>
      </c>
      <c r="M4" s="15">
        <v>45689</v>
      </c>
      <c r="N4" s="41">
        <v>5625</v>
      </c>
      <c r="O4" s="41">
        <v>4245</v>
      </c>
      <c r="P4" s="41">
        <v>450</v>
      </c>
      <c r="Q4" t="s">
        <v>95</v>
      </c>
    </row>
    <row r="5" spans="1:17" x14ac:dyDescent="0.3">
      <c r="A5" s="1" t="str">
        <f>TEXT(DATE(Settings!$B$5,ROW()-1,1),"mmm")</f>
        <v>Apr</v>
      </c>
      <c r="B5" s="45">
        <f>IF(COUNTIFS(tblBudget[Month],DATE(Settings!$B$5,ROW()-1,1))=0,"",SUMIFS(tblBudget[Revenue Budget],tblBudget[Month],DATE(Settings!$B$5,ROW()-1,1)))</f>
        <v>5875</v>
      </c>
      <c r="C5" s="45">
        <f>SUMIFS(tblTransactions[Amount],tblTransactions[Date],"&gt;="&amp;DATE(Settings!$B$5,ROW()-1,1),tblTransactions[Date],"&lt;"&amp;EDATE(DATE(Settings!$B$5,ROW()-1,1),1),tblTransactions[Transaction Type],"Income")</f>
        <v>1588.42</v>
      </c>
      <c r="D5" s="45">
        <f t="shared" si="0"/>
        <v>-4286.58</v>
      </c>
      <c r="E5" s="3">
        <f t="shared" si="1"/>
        <v>0.27036936170212766</v>
      </c>
      <c r="F5" s="45">
        <f>IF(COUNTIFS(tblBudget[Month],DATE(Settings!$B$5,ROW()-1,1))=0,"",SUMIFS(tblBudget[Expense Budget],tblBudget[Month],DATE(Settings!$B$5,ROW()-1,1)))</f>
        <v>4335</v>
      </c>
      <c r="G5" s="45">
        <f>SUMIFS(tblTransactions[Amount],tblTransactions[Date],"&gt;="&amp;DATE(Settings!$B$5,ROW()-1,1),tblTransactions[Date],"&lt;"&amp;EDATE(DATE(Settings!$B$5,ROW()-1,1),1),tblTransactions[Transaction Type],"Expense")</f>
        <v>2730.22</v>
      </c>
      <c r="H5" s="45">
        <f t="shared" si="2"/>
        <v>-1604.7800000000002</v>
      </c>
      <c r="I5" s="3">
        <f t="shared" si="3"/>
        <v>0.62980853517877733</v>
      </c>
      <c r="J5" s="45">
        <f t="shared" si="4"/>
        <v>-1141.7999999999997</v>
      </c>
      <c r="K5" s="1" t="str">
        <f>IF(OR(B5="",F5=""),"No Budget Defined",IF(G5&gt;F5,"Over Budget",IF(C5&gt;=B5,"Above Target",IF(C5&gt;=B5*Settings!$B$13,"On Track","Below Target"))))</f>
        <v>Below Target</v>
      </c>
      <c r="M5" s="15">
        <v>45717</v>
      </c>
      <c r="N5" s="41">
        <v>5750</v>
      </c>
      <c r="O5" s="41">
        <v>4290</v>
      </c>
      <c r="P5" s="41">
        <v>450</v>
      </c>
      <c r="Q5" t="s">
        <v>95</v>
      </c>
    </row>
    <row r="6" spans="1:17" x14ac:dyDescent="0.3">
      <c r="A6" s="1" t="str">
        <f>TEXT(DATE(Settings!$B$5,ROW()-1,1),"mmm")</f>
        <v>May</v>
      </c>
      <c r="B6" s="45">
        <f>IF(COUNTIFS(tblBudget[Month],DATE(Settings!$B$5,ROW()-1,1))=0,"",SUMIFS(tblBudget[Revenue Budget],tblBudget[Month],DATE(Settings!$B$5,ROW()-1,1)))</f>
        <v>6000</v>
      </c>
      <c r="C6" s="45">
        <f>SUMIFS(tblTransactions[Amount],tblTransactions[Date],"&gt;="&amp;DATE(Settings!$B$5,ROW()-1,1),tblTransactions[Date],"&lt;"&amp;EDATE(DATE(Settings!$B$5,ROW()-1,1),1),tblTransactions[Transaction Type],"Income")</f>
        <v>2678.0600000000004</v>
      </c>
      <c r="D6" s="45">
        <f t="shared" si="0"/>
        <v>-3321.9399999999996</v>
      </c>
      <c r="E6" s="3">
        <f t="shared" si="1"/>
        <v>0.44634333333333343</v>
      </c>
      <c r="F6" s="45">
        <f>IF(COUNTIFS(tblBudget[Month],DATE(Settings!$B$5,ROW()-1,1))=0,"",SUMIFS(tblBudget[Expense Budget],tblBudget[Month],DATE(Settings!$B$5,ROW()-1,1)))</f>
        <v>4380</v>
      </c>
      <c r="G6" s="45">
        <f>SUMIFS(tblTransactions[Amount],tblTransactions[Date],"&gt;="&amp;DATE(Settings!$B$5,ROW()-1,1),tblTransactions[Date],"&lt;"&amp;EDATE(DATE(Settings!$B$5,ROW()-1,1),1),tblTransactions[Transaction Type],"Expense")</f>
        <v>2445.87</v>
      </c>
      <c r="H6" s="45">
        <f t="shared" si="2"/>
        <v>-1934.13</v>
      </c>
      <c r="I6" s="3">
        <f t="shared" si="3"/>
        <v>0.55841780821917808</v>
      </c>
      <c r="J6" s="45">
        <f t="shared" si="4"/>
        <v>232.19000000000051</v>
      </c>
      <c r="K6" s="1" t="str">
        <f>IF(OR(B6="",F6=""),"No Budget Defined",IF(G6&gt;F6,"Over Budget",IF(C6&gt;=B6,"Above Target",IF(C6&gt;=B6*Settings!$B$13,"On Track","Below Target"))))</f>
        <v>Below Target</v>
      </c>
      <c r="M6" s="15">
        <v>45748</v>
      </c>
      <c r="N6" s="41">
        <v>5875</v>
      </c>
      <c r="O6" s="41">
        <v>4335</v>
      </c>
      <c r="P6" s="41">
        <v>450</v>
      </c>
      <c r="Q6" t="s">
        <v>95</v>
      </c>
    </row>
    <row r="7" spans="1:17" x14ac:dyDescent="0.3">
      <c r="A7" s="1" t="str">
        <f>TEXT(DATE(Settings!$B$5,ROW()-1,1),"mmm")</f>
        <v>Jun</v>
      </c>
      <c r="B7" s="45">
        <f>IF(COUNTIFS(tblBudget[Month],DATE(Settings!$B$5,ROW()-1,1))=0,"",SUMIFS(tblBudget[Revenue Budget],tblBudget[Month],DATE(Settings!$B$5,ROW()-1,1)))</f>
        <v>6125</v>
      </c>
      <c r="C7" s="45">
        <f>SUMIFS(tblTransactions[Amount],tblTransactions[Date],"&gt;="&amp;DATE(Settings!$B$5,ROW()-1,1),tblTransactions[Date],"&lt;"&amp;EDATE(DATE(Settings!$B$5,ROW()-1,1),1),tblTransactions[Transaction Type],"Income")</f>
        <v>2908.1</v>
      </c>
      <c r="D7" s="45">
        <f t="shared" si="0"/>
        <v>-3216.9</v>
      </c>
      <c r="E7" s="3">
        <f t="shared" si="1"/>
        <v>0.47479183673469388</v>
      </c>
      <c r="F7" s="45">
        <f>IF(COUNTIFS(tblBudget[Month],DATE(Settings!$B$5,ROW()-1,1))=0,"",SUMIFS(tblBudget[Expense Budget],tblBudget[Month],DATE(Settings!$B$5,ROW()-1,1)))</f>
        <v>4425</v>
      </c>
      <c r="G7" s="45">
        <f>SUMIFS(tblTransactions[Amount],tblTransactions[Date],"&gt;="&amp;DATE(Settings!$B$5,ROW()-1,1),tblTransactions[Date],"&lt;"&amp;EDATE(DATE(Settings!$B$5,ROW()-1,1),1),tblTransactions[Transaction Type],"Expense")</f>
        <v>2918.3199999999997</v>
      </c>
      <c r="H7" s="45">
        <f t="shared" si="2"/>
        <v>-1506.6800000000003</v>
      </c>
      <c r="I7" s="3">
        <f t="shared" si="3"/>
        <v>0.65950734463276828</v>
      </c>
      <c r="J7" s="45">
        <f t="shared" si="4"/>
        <v>-10.2199999999998</v>
      </c>
      <c r="K7" s="1" t="str">
        <f>IF(OR(B7="",F7=""),"No Budget Defined",IF(G7&gt;F7,"Over Budget",IF(C7&gt;=B7,"Above Target",IF(C7&gt;=B7*Settings!$B$13,"On Track","Below Target"))))</f>
        <v>Below Target</v>
      </c>
      <c r="M7" s="15">
        <v>45778</v>
      </c>
      <c r="N7" s="41">
        <v>6000</v>
      </c>
      <c r="O7" s="41">
        <v>4380</v>
      </c>
      <c r="P7" s="41">
        <v>450</v>
      </c>
      <c r="Q7" t="s">
        <v>95</v>
      </c>
    </row>
    <row r="8" spans="1:17" x14ac:dyDescent="0.3">
      <c r="A8" s="1" t="str">
        <f>TEXT(DATE(Settings!$B$5,ROW()-1,1),"mmm")</f>
        <v>Jul</v>
      </c>
      <c r="B8" s="45">
        <f>IF(COUNTIFS(tblBudget[Month],DATE(Settings!$B$5,ROW()-1,1))=0,"",SUMIFS(tblBudget[Revenue Budget],tblBudget[Month],DATE(Settings!$B$5,ROW()-1,1)))</f>
        <v>6250</v>
      </c>
      <c r="C8" s="45">
        <f>SUMIFS(tblTransactions[Amount],tblTransactions[Date],"&gt;="&amp;DATE(Settings!$B$5,ROW()-1,1),tblTransactions[Date],"&lt;"&amp;EDATE(DATE(Settings!$B$5,ROW()-1,1),1),tblTransactions[Transaction Type],"Income")</f>
        <v>2963.74</v>
      </c>
      <c r="D8" s="45">
        <f t="shared" si="0"/>
        <v>-3286.26</v>
      </c>
      <c r="E8" s="3">
        <f t="shared" si="1"/>
        <v>0.47419839999999996</v>
      </c>
      <c r="F8" s="45">
        <f>IF(COUNTIFS(tblBudget[Month],DATE(Settings!$B$5,ROW()-1,1))=0,"",SUMIFS(tblBudget[Expense Budget],tblBudget[Month],DATE(Settings!$B$5,ROW()-1,1)))</f>
        <v>4470</v>
      </c>
      <c r="G8" s="45">
        <f>SUMIFS(tblTransactions[Amount],tblTransactions[Date],"&gt;="&amp;DATE(Settings!$B$5,ROW()-1,1),tblTransactions[Date],"&lt;"&amp;EDATE(DATE(Settings!$B$5,ROW()-1,1),1),tblTransactions[Transaction Type],"Expense")</f>
        <v>2281.65</v>
      </c>
      <c r="H8" s="45">
        <f t="shared" si="2"/>
        <v>-2188.35</v>
      </c>
      <c r="I8" s="3">
        <f t="shared" si="3"/>
        <v>0.51043624161073831</v>
      </c>
      <c r="J8" s="45">
        <f t="shared" si="4"/>
        <v>682.08999999999969</v>
      </c>
      <c r="K8" s="1" t="str">
        <f>IF(OR(B8="",F8=""),"No Budget Defined",IF(G8&gt;F8,"Over Budget",IF(C8&gt;=B8,"Above Target",IF(C8&gt;=B8*Settings!$B$13,"On Track","Below Target"))))</f>
        <v>Below Target</v>
      </c>
      <c r="M8" s="15">
        <v>45809</v>
      </c>
      <c r="N8" s="41">
        <v>6125</v>
      </c>
      <c r="O8" s="41">
        <v>4425</v>
      </c>
      <c r="P8" s="41">
        <v>450</v>
      </c>
      <c r="Q8" t="s">
        <v>95</v>
      </c>
    </row>
    <row r="9" spans="1:17" x14ac:dyDescent="0.3">
      <c r="A9" s="1" t="str">
        <f>TEXT(DATE(Settings!$B$5,ROW()-1,1),"mmm")</f>
        <v>Aug</v>
      </c>
      <c r="B9" s="45">
        <f>IF(COUNTIFS(tblBudget[Month],DATE(Settings!$B$5,ROW()-1,1))=0,"",SUMIFS(tblBudget[Revenue Budget],tblBudget[Month],DATE(Settings!$B$5,ROW()-1,1)))</f>
        <v>6375</v>
      </c>
      <c r="C9" s="45">
        <f>SUMIFS(tblTransactions[Amount],tblTransactions[Date],"&gt;="&amp;DATE(Settings!$B$5,ROW()-1,1),tblTransactions[Date],"&lt;"&amp;EDATE(DATE(Settings!$B$5,ROW()-1,1),1),tblTransactions[Transaction Type],"Income")</f>
        <v>2822.1400000000003</v>
      </c>
      <c r="D9" s="45">
        <f t="shared" si="0"/>
        <v>-3552.8599999999997</v>
      </c>
      <c r="E9" s="3">
        <f t="shared" si="1"/>
        <v>0.44268862745098042</v>
      </c>
      <c r="F9" s="45">
        <f>IF(COUNTIFS(tblBudget[Month],DATE(Settings!$B$5,ROW()-1,1))=0,"",SUMIFS(tblBudget[Expense Budget],tblBudget[Month],DATE(Settings!$B$5,ROW()-1,1)))</f>
        <v>4515</v>
      </c>
      <c r="G9" s="45">
        <f>SUMIFS(tblTransactions[Amount],tblTransactions[Date],"&gt;="&amp;DATE(Settings!$B$5,ROW()-1,1),tblTransactions[Date],"&lt;"&amp;EDATE(DATE(Settings!$B$5,ROW()-1,1),1),tblTransactions[Transaction Type],"Expense")</f>
        <v>2538.48</v>
      </c>
      <c r="H9" s="45">
        <f t="shared" si="2"/>
        <v>-1976.52</v>
      </c>
      <c r="I9" s="3">
        <f t="shared" si="3"/>
        <v>0.56223255813953488</v>
      </c>
      <c r="J9" s="45">
        <f t="shared" si="4"/>
        <v>283.66000000000031</v>
      </c>
      <c r="K9" s="1" t="str">
        <f>IF(OR(B9="",F9=""),"No Budget Defined",IF(G9&gt;F9,"Over Budget",IF(C9&gt;=B9,"Above Target",IF(C9&gt;=B9*Settings!$B$13,"On Track","Below Target"))))</f>
        <v>Below Target</v>
      </c>
      <c r="M9" s="15">
        <v>45839</v>
      </c>
      <c r="N9" s="41">
        <v>6250</v>
      </c>
      <c r="O9" s="41">
        <v>4470</v>
      </c>
      <c r="P9" s="41">
        <v>450</v>
      </c>
      <c r="Q9" t="s">
        <v>95</v>
      </c>
    </row>
    <row r="10" spans="1:17" x14ac:dyDescent="0.3">
      <c r="A10" s="1" t="str">
        <f>TEXT(DATE(Settings!$B$5,ROW()-1,1),"mmm")</f>
        <v>Sep</v>
      </c>
      <c r="B10" s="45">
        <f>IF(COUNTIFS(tblBudget[Month],DATE(Settings!$B$5,ROW()-1,1))=0,"",SUMIFS(tblBudget[Revenue Budget],tblBudget[Month],DATE(Settings!$B$5,ROW()-1,1)))</f>
        <v>6500</v>
      </c>
      <c r="C10" s="45">
        <f>SUMIFS(tblTransactions[Amount],tblTransactions[Date],"&gt;="&amp;DATE(Settings!$B$5,ROW()-1,1),tblTransactions[Date],"&lt;"&amp;EDATE(DATE(Settings!$B$5,ROW()-1,1),1),tblTransactions[Transaction Type],"Income")</f>
        <v>2116.0699999999997</v>
      </c>
      <c r="D10" s="45">
        <f t="shared" si="0"/>
        <v>-4383.93</v>
      </c>
      <c r="E10" s="3">
        <f t="shared" si="1"/>
        <v>0.3255492307692307</v>
      </c>
      <c r="F10" s="45">
        <f>IF(COUNTIFS(tblBudget[Month],DATE(Settings!$B$5,ROW()-1,1))=0,"",SUMIFS(tblBudget[Expense Budget],tblBudget[Month],DATE(Settings!$B$5,ROW()-1,1)))</f>
        <v>4560</v>
      </c>
      <c r="G10" s="45">
        <f>SUMIFS(tblTransactions[Amount],tblTransactions[Date],"&gt;="&amp;DATE(Settings!$B$5,ROW()-1,1),tblTransactions[Date],"&lt;"&amp;EDATE(DATE(Settings!$B$5,ROW()-1,1),1),tblTransactions[Transaction Type],"Expense")</f>
        <v>2348.75</v>
      </c>
      <c r="H10" s="45">
        <f t="shared" si="2"/>
        <v>-2211.25</v>
      </c>
      <c r="I10" s="3">
        <f t="shared" si="3"/>
        <v>0.5150767543859649</v>
      </c>
      <c r="J10" s="45">
        <f t="shared" si="4"/>
        <v>-232.68000000000029</v>
      </c>
      <c r="K10" s="1" t="str">
        <f>IF(OR(B10="",F10=""),"No Budget Defined",IF(G10&gt;F10,"Over Budget",IF(C10&gt;=B10,"Above Target",IF(C10&gt;=B10*Settings!$B$13,"On Track","Below Target"))))</f>
        <v>Below Target</v>
      </c>
      <c r="M10" s="15">
        <v>45870</v>
      </c>
      <c r="N10" s="41">
        <v>6375</v>
      </c>
      <c r="O10" s="41">
        <v>4515</v>
      </c>
      <c r="P10" s="41">
        <v>450</v>
      </c>
      <c r="Q10" t="s">
        <v>95</v>
      </c>
    </row>
    <row r="11" spans="1:17" x14ac:dyDescent="0.3">
      <c r="A11" s="1" t="str">
        <f>TEXT(DATE(Settings!$B$5,ROW()-1,1),"mmm")</f>
        <v>Oct</v>
      </c>
      <c r="B11" s="45">
        <f>IF(COUNTIFS(tblBudget[Month],DATE(Settings!$B$5,ROW()-1,1))=0,"",SUMIFS(tblBudget[Revenue Budget],tblBudget[Month],DATE(Settings!$B$5,ROW()-1,1)))</f>
        <v>6625</v>
      </c>
      <c r="C11" s="45">
        <f>SUMIFS(tblTransactions[Amount],tblTransactions[Date],"&gt;="&amp;DATE(Settings!$B$5,ROW()-1,1),tblTransactions[Date],"&lt;"&amp;EDATE(DATE(Settings!$B$5,ROW()-1,1),1),tblTransactions[Transaction Type],"Income")</f>
        <v>1897.31</v>
      </c>
      <c r="D11" s="45">
        <f t="shared" si="0"/>
        <v>-4727.6900000000005</v>
      </c>
      <c r="E11" s="3">
        <f t="shared" si="1"/>
        <v>0.2863864150943396</v>
      </c>
      <c r="F11" s="45">
        <f>IF(COUNTIFS(tblBudget[Month],DATE(Settings!$B$5,ROW()-1,1))=0,"",SUMIFS(tblBudget[Expense Budget],tblBudget[Month],DATE(Settings!$B$5,ROW()-1,1)))</f>
        <v>4605</v>
      </c>
      <c r="G11" s="45">
        <f>SUMIFS(tblTransactions[Amount],tblTransactions[Date],"&gt;="&amp;DATE(Settings!$B$5,ROW()-1,1),tblTransactions[Date],"&lt;"&amp;EDATE(DATE(Settings!$B$5,ROW()-1,1),1),tblTransactions[Transaction Type],"Expense")</f>
        <v>2499.42</v>
      </c>
      <c r="H11" s="45">
        <f t="shared" si="2"/>
        <v>-2105.58</v>
      </c>
      <c r="I11" s="3">
        <f t="shared" si="3"/>
        <v>0.54276221498371335</v>
      </c>
      <c r="J11" s="45">
        <f t="shared" si="4"/>
        <v>-602.11000000000013</v>
      </c>
      <c r="K11" s="1" t="str">
        <f>IF(OR(B11="",F11=""),"No Budget Defined",IF(G11&gt;F11,"Over Budget",IF(C11&gt;=B11,"Above Target",IF(C11&gt;=B11*Settings!$B$13,"On Track","Below Target"))))</f>
        <v>Below Target</v>
      </c>
      <c r="M11" s="15">
        <v>45901</v>
      </c>
      <c r="N11" s="41">
        <v>6500</v>
      </c>
      <c r="O11" s="41">
        <v>4560</v>
      </c>
      <c r="P11" s="41">
        <v>450</v>
      </c>
      <c r="Q11" t="s">
        <v>95</v>
      </c>
    </row>
    <row r="12" spans="1:17" x14ac:dyDescent="0.3">
      <c r="A12" s="1" t="str">
        <f>TEXT(DATE(Settings!$B$5,ROW()-1,1),"mmm")</f>
        <v>Nov</v>
      </c>
      <c r="B12" s="45">
        <f>IF(COUNTIFS(tblBudget[Month],DATE(Settings!$B$5,ROW()-1,1))=0,"",SUMIFS(tblBudget[Revenue Budget],tblBudget[Month],DATE(Settings!$B$5,ROW()-1,1)))</f>
        <v>6750</v>
      </c>
      <c r="C12" s="45">
        <f>SUMIFS(tblTransactions[Amount],tblTransactions[Date],"&gt;="&amp;DATE(Settings!$B$5,ROW()-1,1),tblTransactions[Date],"&lt;"&amp;EDATE(DATE(Settings!$B$5,ROW()-1,1),1),tblTransactions[Transaction Type],"Income")</f>
        <v>2619.3599999999997</v>
      </c>
      <c r="D12" s="45">
        <f t="shared" si="0"/>
        <v>-4130.6400000000003</v>
      </c>
      <c r="E12" s="3">
        <f t="shared" si="1"/>
        <v>0.38805333333333331</v>
      </c>
      <c r="F12" s="45">
        <f>IF(COUNTIFS(tblBudget[Month],DATE(Settings!$B$5,ROW()-1,1))=0,"",SUMIFS(tblBudget[Expense Budget],tblBudget[Month],DATE(Settings!$B$5,ROW()-1,1)))</f>
        <v>4650</v>
      </c>
      <c r="G12" s="45">
        <f>SUMIFS(tblTransactions[Amount],tblTransactions[Date],"&gt;="&amp;DATE(Settings!$B$5,ROW()-1,1),tblTransactions[Date],"&lt;"&amp;EDATE(DATE(Settings!$B$5,ROW()-1,1),1),tblTransactions[Transaction Type],"Expense")</f>
        <v>2393.96</v>
      </c>
      <c r="H12" s="45">
        <f t="shared" si="2"/>
        <v>-2256.04</v>
      </c>
      <c r="I12" s="3">
        <f t="shared" si="3"/>
        <v>0.51483010752688174</v>
      </c>
      <c r="J12" s="45">
        <f t="shared" si="4"/>
        <v>225.39999999999964</v>
      </c>
      <c r="K12" s="1" t="str">
        <f>IF(OR(B12="",F12=""),"No Budget Defined",IF(G12&gt;F12,"Over Budget",IF(C12&gt;=B12,"Above Target",IF(C12&gt;=B12*Settings!$B$13,"On Track","Below Target"))))</f>
        <v>Below Target</v>
      </c>
      <c r="M12" s="15">
        <v>45931</v>
      </c>
      <c r="N12" s="41">
        <v>6625</v>
      </c>
      <c r="O12" s="41">
        <v>4605</v>
      </c>
      <c r="P12" s="41">
        <v>450</v>
      </c>
      <c r="Q12" t="s">
        <v>95</v>
      </c>
    </row>
    <row r="13" spans="1:17" x14ac:dyDescent="0.3">
      <c r="A13" s="1" t="str">
        <f>TEXT(DATE(Settings!$B$5,ROW()-1,1),"mmm")</f>
        <v>Dec</v>
      </c>
      <c r="B13" s="45">
        <f>IF(COUNTIFS(tblBudget[Month],DATE(Settings!$B$5,ROW()-1,1))=0,"",SUMIFS(tblBudget[Revenue Budget],tblBudget[Month],DATE(Settings!$B$5,ROW()-1,1)))</f>
        <v>6875</v>
      </c>
      <c r="C13" s="45">
        <f>SUMIFS(tblTransactions[Amount],tblTransactions[Date],"&gt;="&amp;DATE(Settings!$B$5,ROW()-1,1),tblTransactions[Date],"&lt;"&amp;EDATE(DATE(Settings!$B$5,ROW()-1,1),1),tblTransactions[Transaction Type],"Income")</f>
        <v>2248.2599999999998</v>
      </c>
      <c r="D13" s="45">
        <f t="shared" si="0"/>
        <v>-4626.74</v>
      </c>
      <c r="E13" s="3">
        <f t="shared" si="1"/>
        <v>0.32701963636363635</v>
      </c>
      <c r="F13" s="45">
        <f>IF(COUNTIFS(tblBudget[Month],DATE(Settings!$B$5,ROW()-1,1))=0,"",SUMIFS(tblBudget[Expense Budget],tblBudget[Month],DATE(Settings!$B$5,ROW()-1,1)))</f>
        <v>4695</v>
      </c>
      <c r="G13" s="45">
        <f>SUMIFS(tblTransactions[Amount],tblTransactions[Date],"&gt;="&amp;DATE(Settings!$B$5,ROW()-1,1),tblTransactions[Date],"&lt;"&amp;EDATE(DATE(Settings!$B$5,ROW()-1,1),1),tblTransactions[Transaction Type],"Expense")</f>
        <v>2450.89</v>
      </c>
      <c r="H13" s="45">
        <f t="shared" si="2"/>
        <v>-2244.11</v>
      </c>
      <c r="I13" s="3">
        <f t="shared" si="3"/>
        <v>0.52202129925452612</v>
      </c>
      <c r="J13" s="45">
        <f t="shared" si="4"/>
        <v>-202.63000000000011</v>
      </c>
      <c r="K13" s="1" t="str">
        <f>IF(OR(B13="",F13=""),"No Budget Defined",IF(G13&gt;F13,"Over Budget",IF(C13&gt;=B13,"Above Target",IF(C13&gt;=B13*Settings!$B$13,"On Track","Below Target"))))</f>
        <v>Below Target</v>
      </c>
      <c r="M13" s="15">
        <v>45962</v>
      </c>
      <c r="N13" s="41">
        <v>6750</v>
      </c>
      <c r="O13" s="41">
        <v>4650</v>
      </c>
      <c r="P13" s="41">
        <v>450</v>
      </c>
      <c r="Q13" t="s">
        <v>95</v>
      </c>
    </row>
    <row r="14" spans="1:17" x14ac:dyDescent="0.3">
      <c r="A14" s="35" t="s">
        <v>139</v>
      </c>
      <c r="B14" s="46">
        <f>SUM(B2:B13)</f>
        <v>74250</v>
      </c>
      <c r="C14" s="46">
        <f>SUM(C2:C13)</f>
        <v>28217.19</v>
      </c>
      <c r="D14" s="46">
        <f>SUM(D2:D13)</f>
        <v>-46032.810000000005</v>
      </c>
      <c r="E14" s="36">
        <f>IF(OR(B14="",B14=0),"N/A",C14/B14)</f>
        <v>0.38002949494949495</v>
      </c>
      <c r="F14" s="46">
        <f>SUM(F2:F13)</f>
        <v>53370</v>
      </c>
      <c r="G14" s="46">
        <f>SUM(G2:G13)</f>
        <v>29853.019999999997</v>
      </c>
      <c r="H14" s="46">
        <f>SUM(H2:H13)</f>
        <v>-23516.980000000003</v>
      </c>
      <c r="I14" s="36">
        <f>IF(OR(F14="",F14=0),"N/A",G14/F14)</f>
        <v>0.559359565298857</v>
      </c>
      <c r="J14" s="46">
        <f>SUM(J2:J13)</f>
        <v>-1635.8300000000002</v>
      </c>
      <c r="K14" s="35"/>
      <c r="M14" s="15">
        <v>45992</v>
      </c>
      <c r="N14" s="41">
        <v>6875</v>
      </c>
      <c r="O14" s="41">
        <v>4695</v>
      </c>
      <c r="P14" s="41">
        <v>450</v>
      </c>
      <c r="Q14" t="s">
        <v>95</v>
      </c>
    </row>
  </sheetData>
  <mergeCells count="1">
    <mergeCell ref="M1:Q1"/>
  </mergeCells>
  <conditionalFormatting sqref="D2:D14">
    <cfRule type="expression" dxfId="10" priority="1">
      <formula>D2&gt;=0</formula>
    </cfRule>
  </conditionalFormatting>
  <conditionalFormatting sqref="D2:D14">
    <cfRule type="expression" dxfId="9" priority="2">
      <formula>D2&lt;0</formula>
    </cfRule>
  </conditionalFormatting>
  <conditionalFormatting sqref="H2:H14">
    <cfRule type="expression" dxfId="8" priority="3">
      <formula>H2&gt;0</formula>
    </cfRule>
  </conditionalFormatting>
  <conditionalFormatting sqref="H2:H14">
    <cfRule type="expression" dxfId="7" priority="4">
      <formula>H2&lt;=0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6650-0F55-4CB2-B73A-1DAECECB563D}">
  <dimension ref="A1:C14"/>
  <sheetViews>
    <sheetView showGridLines="0" topLeftCell="A2" workbookViewId="0">
      <selection activeCell="B8" sqref="B8"/>
    </sheetView>
  </sheetViews>
  <sheetFormatPr defaultRowHeight="14.4" x14ac:dyDescent="0.3"/>
  <cols>
    <col min="1" max="1" width="30.5546875" customWidth="1"/>
    <col min="2" max="2" width="23.109375" customWidth="1"/>
    <col min="3" max="3" width="50" customWidth="1"/>
  </cols>
  <sheetData>
    <row r="1" spans="1:3" ht="36" customHeight="1" x14ac:dyDescent="0.45">
      <c r="A1" s="10" t="s">
        <v>61</v>
      </c>
      <c r="B1" s="10"/>
      <c r="C1" s="10"/>
    </row>
    <row r="2" spans="1:3" ht="24" customHeight="1" x14ac:dyDescent="0.3">
      <c r="A2" s="11" t="s">
        <v>62</v>
      </c>
      <c r="B2" s="11" t="s">
        <v>63</v>
      </c>
      <c r="C2" s="11" t="s">
        <v>64</v>
      </c>
    </row>
    <row r="3" spans="1:3" ht="24" customHeight="1" x14ac:dyDescent="0.3">
      <c r="A3" s="12" t="s">
        <v>65</v>
      </c>
      <c r="B3" s="13" t="s">
        <v>66</v>
      </c>
      <c r="C3" s="12" t="s">
        <v>67</v>
      </c>
    </row>
    <row r="4" spans="1:3" ht="24" customHeight="1" x14ac:dyDescent="0.3">
      <c r="A4" s="12" t="s">
        <v>68</v>
      </c>
      <c r="B4" s="13"/>
      <c r="C4" s="12" t="s">
        <v>67</v>
      </c>
    </row>
    <row r="5" spans="1:3" ht="24" customHeight="1" x14ac:dyDescent="0.3">
      <c r="A5" s="12" t="s">
        <v>69</v>
      </c>
      <c r="B5" s="13">
        <v>2025</v>
      </c>
      <c r="C5" s="12" t="s">
        <v>70</v>
      </c>
    </row>
    <row r="6" spans="1:3" ht="24" customHeight="1" x14ac:dyDescent="0.3">
      <c r="A6" s="12" t="s">
        <v>71</v>
      </c>
      <c r="B6" s="13" t="s">
        <v>72</v>
      </c>
      <c r="C6" s="12" t="s">
        <v>73</v>
      </c>
    </row>
    <row r="7" spans="1:3" ht="24" customHeight="1" x14ac:dyDescent="0.3">
      <c r="A7" s="12" t="s">
        <v>74</v>
      </c>
      <c r="B7" s="13" t="s">
        <v>75</v>
      </c>
      <c r="C7" s="12" t="s">
        <v>73</v>
      </c>
    </row>
    <row r="8" spans="1:3" ht="24" customHeight="1" x14ac:dyDescent="0.3">
      <c r="A8" s="12" t="s">
        <v>76</v>
      </c>
      <c r="B8" s="13" t="s">
        <v>77</v>
      </c>
      <c r="C8" s="12" t="s">
        <v>73</v>
      </c>
    </row>
    <row r="9" spans="1:3" ht="24" customHeight="1" x14ac:dyDescent="0.3">
      <c r="A9" s="12" t="s">
        <v>78</v>
      </c>
      <c r="B9" s="43">
        <v>10000</v>
      </c>
      <c r="C9" s="12" t="s">
        <v>79</v>
      </c>
    </row>
    <row r="10" spans="1:3" ht="24" customHeight="1" x14ac:dyDescent="0.3">
      <c r="A10" s="12" t="s">
        <v>80</v>
      </c>
      <c r="B10" s="14">
        <v>0.08</v>
      </c>
      <c r="C10" s="12" t="s">
        <v>81</v>
      </c>
    </row>
    <row r="11" spans="1:3" ht="24" customHeight="1" x14ac:dyDescent="0.3">
      <c r="A11" s="12" t="s">
        <v>82</v>
      </c>
      <c r="B11" s="14">
        <v>0.2</v>
      </c>
      <c r="C11" s="12" t="s">
        <v>83</v>
      </c>
    </row>
    <row r="12" spans="1:3" ht="24" customHeight="1" x14ac:dyDescent="0.3">
      <c r="A12" s="12" t="s">
        <v>84</v>
      </c>
      <c r="B12" s="43">
        <v>3000</v>
      </c>
      <c r="C12" s="12" t="s">
        <v>85</v>
      </c>
    </row>
    <row r="13" spans="1:3" ht="24" customHeight="1" x14ac:dyDescent="0.3">
      <c r="A13" s="12" t="s">
        <v>86</v>
      </c>
      <c r="B13" s="14">
        <v>0.9</v>
      </c>
      <c r="C13" s="12" t="s">
        <v>87</v>
      </c>
    </row>
    <row r="14" spans="1:3" ht="24" customHeight="1" x14ac:dyDescent="0.3">
      <c r="A14" s="12" t="s">
        <v>88</v>
      </c>
      <c r="B14" s="14">
        <v>1.1000000000000001</v>
      </c>
      <c r="C14" s="12" t="s">
        <v>89</v>
      </c>
    </row>
  </sheetData>
  <mergeCells count="1">
    <mergeCell ref="A1:C1"/>
  </mergeCells>
  <dataValidations count="3">
    <dataValidation type="whole" allowBlank="1" showInputMessage="1" showErrorMessage="1" sqref="B5" xr:uid="{5B5B47C6-81C7-43B3-9082-90A9F06157F7}">
      <formula1>2000</formula1>
      <formula2>2100</formula2>
    </dataValidation>
    <dataValidation type="decimal" allowBlank="1" showInputMessage="1" showErrorMessage="1" sqref="B10:B11" xr:uid="{BBE513E2-EAE7-4425-8AB7-D1A8C512FD99}">
      <formula1>0</formula1>
      <formula2>1</formula2>
    </dataValidation>
    <dataValidation type="decimal" allowBlank="1" showInputMessage="1" showErrorMessage="1" sqref="B13:B14" xr:uid="{606A8E67-C8B0-44A0-9489-8B7C2A068E49}">
      <formula1>0</formula1>
      <formula2>2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6D50-B49E-4817-8138-55560221DA53}">
  <dimension ref="A1:B26"/>
  <sheetViews>
    <sheetView showGridLines="0" workbookViewId="0">
      <selection sqref="A1:P1"/>
    </sheetView>
  </sheetViews>
  <sheetFormatPr defaultRowHeight="14.4" x14ac:dyDescent="0.3"/>
  <cols>
    <col min="1" max="1" width="26.88671875" customWidth="1"/>
    <col min="2" max="2" width="96.33203125" customWidth="1"/>
  </cols>
  <sheetData>
    <row r="1" spans="1:2" ht="23.4" x14ac:dyDescent="0.45">
      <c r="A1" s="10" t="s">
        <v>160</v>
      </c>
      <c r="B1" s="10"/>
    </row>
    <row r="2" spans="1:2" x14ac:dyDescent="0.3">
      <c r="A2" s="11" t="s">
        <v>161</v>
      </c>
      <c r="B2" s="11" t="s">
        <v>64</v>
      </c>
    </row>
    <row r="3" spans="1:2" ht="28.8" x14ac:dyDescent="0.3">
      <c r="A3" s="35" t="s">
        <v>162</v>
      </c>
      <c r="B3" s="40" t="s">
        <v>163</v>
      </c>
    </row>
    <row r="4" spans="1:2" ht="28.8" x14ac:dyDescent="0.3">
      <c r="A4" s="35" t="s">
        <v>164</v>
      </c>
      <c r="B4" s="40" t="s">
        <v>165</v>
      </c>
    </row>
    <row r="5" spans="1:2" x14ac:dyDescent="0.3">
      <c r="A5" s="35" t="s">
        <v>166</v>
      </c>
      <c r="B5" s="40" t="s">
        <v>167</v>
      </c>
    </row>
    <row r="6" spans="1:2" x14ac:dyDescent="0.3">
      <c r="A6" s="35" t="s">
        <v>168</v>
      </c>
      <c r="B6" s="40" t="s">
        <v>169</v>
      </c>
    </row>
    <row r="7" spans="1:2" x14ac:dyDescent="0.3">
      <c r="A7" s="35" t="s">
        <v>170</v>
      </c>
      <c r="B7" s="40" t="s">
        <v>171</v>
      </c>
    </row>
    <row r="8" spans="1:2" ht="28.8" x14ac:dyDescent="0.3">
      <c r="A8" s="35" t="s">
        <v>172</v>
      </c>
      <c r="B8" s="40" t="s">
        <v>173</v>
      </c>
    </row>
    <row r="9" spans="1:2" x14ac:dyDescent="0.3">
      <c r="A9" s="35" t="s">
        <v>174</v>
      </c>
      <c r="B9" s="40" t="s">
        <v>175</v>
      </c>
    </row>
    <row r="10" spans="1:2" x14ac:dyDescent="0.3">
      <c r="A10" s="35" t="s">
        <v>176</v>
      </c>
      <c r="B10" s="40" t="s">
        <v>177</v>
      </c>
    </row>
    <row r="11" spans="1:2" x14ac:dyDescent="0.3">
      <c r="A11" s="35" t="s">
        <v>178</v>
      </c>
      <c r="B11" s="40" t="s">
        <v>179</v>
      </c>
    </row>
    <row r="12" spans="1:2" x14ac:dyDescent="0.3">
      <c r="A12" s="35" t="s">
        <v>180</v>
      </c>
      <c r="B12" s="40" t="s">
        <v>181</v>
      </c>
    </row>
    <row r="13" spans="1:2" x14ac:dyDescent="0.3">
      <c r="A13" s="35" t="s">
        <v>182</v>
      </c>
      <c r="B13" s="40" t="s">
        <v>183</v>
      </c>
    </row>
    <row r="14" spans="1:2" x14ac:dyDescent="0.3">
      <c r="A14" s="35" t="s">
        <v>184</v>
      </c>
      <c r="B14" s="40" t="s">
        <v>185</v>
      </c>
    </row>
    <row r="15" spans="1:2" x14ac:dyDescent="0.3">
      <c r="A15" s="35" t="s">
        <v>186</v>
      </c>
      <c r="B15" s="40" t="s">
        <v>187</v>
      </c>
    </row>
    <row r="16" spans="1:2" x14ac:dyDescent="0.3">
      <c r="A16" s="35" t="s">
        <v>188</v>
      </c>
      <c r="B16" s="40" t="s">
        <v>189</v>
      </c>
    </row>
    <row r="17" spans="1:2" ht="28.8" x14ac:dyDescent="0.3">
      <c r="A17" s="35" t="s">
        <v>190</v>
      </c>
      <c r="B17" s="40" t="s">
        <v>191</v>
      </c>
    </row>
    <row r="18" spans="1:2" x14ac:dyDescent="0.3">
      <c r="A18" s="35" t="s">
        <v>192</v>
      </c>
      <c r="B18" s="40" t="s">
        <v>193</v>
      </c>
    </row>
    <row r="19" spans="1:2" x14ac:dyDescent="0.3">
      <c r="A19" s="35" t="s">
        <v>194</v>
      </c>
      <c r="B19" s="40" t="s">
        <v>195</v>
      </c>
    </row>
    <row r="20" spans="1:2" x14ac:dyDescent="0.3">
      <c r="A20" s="35" t="s">
        <v>196</v>
      </c>
      <c r="B20" s="40" t="s">
        <v>197</v>
      </c>
    </row>
    <row r="21" spans="1:2" ht="28.8" x14ac:dyDescent="0.3">
      <c r="A21" s="35" t="s">
        <v>198</v>
      </c>
      <c r="B21" s="40" t="s">
        <v>199</v>
      </c>
    </row>
    <row r="22" spans="1:2" ht="28.8" x14ac:dyDescent="0.3">
      <c r="A22" s="35" t="s">
        <v>200</v>
      </c>
      <c r="B22" s="40" t="s">
        <v>201</v>
      </c>
    </row>
    <row r="23" spans="1:2" x14ac:dyDescent="0.3">
      <c r="A23" s="35" t="s">
        <v>202</v>
      </c>
      <c r="B23" s="40" t="s">
        <v>203</v>
      </c>
    </row>
    <row r="24" spans="1:2" ht="28.8" x14ac:dyDescent="0.3">
      <c r="A24" s="35" t="s">
        <v>204</v>
      </c>
      <c r="B24" s="40" t="s">
        <v>205</v>
      </c>
    </row>
    <row r="25" spans="1:2" ht="28.8" x14ac:dyDescent="0.3">
      <c r="A25" s="35" t="s">
        <v>206</v>
      </c>
      <c r="B25" s="40" t="s">
        <v>207</v>
      </c>
    </row>
    <row r="26" spans="1:2" x14ac:dyDescent="0.3">
      <c r="A26" s="35" t="s">
        <v>208</v>
      </c>
      <c r="B26" s="40" t="s">
        <v>209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Dashboard</vt:lpstr>
      <vt:lpstr>Transactions</vt:lpstr>
      <vt:lpstr>Monthly Summary</vt:lpstr>
      <vt:lpstr>Cash Flow</vt:lpstr>
      <vt:lpstr>Budget vs Actual</vt:lpstr>
      <vt:lpstr>Settings</vt:lpstr>
      <vt:lpstr>Read Me</vt:lpstr>
      <vt:lpstr>LowCashThreshold</vt:lpstr>
      <vt:lpstr>OpeningCashBalance</vt:lpstr>
      <vt:lpstr>ReportingYear</vt:lpstr>
      <vt:lpstr>TargetProfitMargin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Dhirendra Shukla</dc:creator>
  <cp:lastModifiedBy>Dhirendra Shukla</cp:lastModifiedBy>
  <dcterms:created xsi:type="dcterms:W3CDTF">2026-10-25T12:56:16Z</dcterms:created>
  <dcterms:modified xsi:type="dcterms:W3CDTF">2026-10-25T13:10:10Z</dcterms:modified>
</cp:coreProperties>
</file>